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CC-236.01\SEMINFRA\INFRAESTRUTURA\29. AFRÂNIO LAJES\2. ORÇAMENTO\Afrânio Lages JR\"/>
    </mc:Choice>
  </mc:AlternateContent>
  <bookViews>
    <workbookView xWindow="0" yWindow="0" windowWidth="28800" windowHeight="12300" tabRatio="873"/>
  </bookViews>
  <sheets>
    <sheet name="MEMORIA DE CALCULO " sheetId="26" r:id="rId1"/>
    <sheet name="auxiliar memoria" sheetId="6" state="hidden" r:id="rId2"/>
    <sheet name="ITEN DE MAIOR" sheetId="12" state="hidden" r:id="rId3"/>
    <sheet name="CRON FIN - 5 MESES" sheetId="14" state="hidden" r:id="rId4"/>
    <sheet name="Gráf1" sheetId="22" state="hidden" r:id="rId5"/>
    <sheet name="Plan2" sheetId="23" state="hidden" r:id="rId6"/>
    <sheet name="Plan1" sheetId="24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#N/A</definedName>
    <definedName name="\e">#N/A</definedName>
    <definedName name="_____ta105" localSheetId="0">#REF!</definedName>
    <definedName name="_____ta105">#REF!</definedName>
    <definedName name="_____ta157" localSheetId="0">#REF!</definedName>
    <definedName name="_____ta157">#REF!</definedName>
    <definedName name="____ta105" localSheetId="0">#REF!</definedName>
    <definedName name="____ta105">#REF!</definedName>
    <definedName name="____ta157" localSheetId="0">#REF!</definedName>
    <definedName name="____ta157">#REF!</definedName>
    <definedName name="___ta105" localSheetId="0">#REF!</definedName>
    <definedName name="___ta105">#REF!</definedName>
    <definedName name="___ta157" localSheetId="0">#REF!</definedName>
    <definedName name="___ta157">#REF!</definedName>
    <definedName name="__a100000" localSheetId="0">#REF!</definedName>
    <definedName name="__a100000">#REF!</definedName>
    <definedName name="__a70000" localSheetId="0">#REF!</definedName>
    <definedName name="__a70000">#REF!</definedName>
    <definedName name="__apf1" localSheetId="0">#REF!</definedName>
    <definedName name="__apf1">#REF!</definedName>
    <definedName name="__cpf1" localSheetId="0">#REF!</definedName>
    <definedName name="__cpf1">#REF!</definedName>
    <definedName name="__SL6">#N/A</definedName>
    <definedName name="__ta105" localSheetId="0">#REF!</definedName>
    <definedName name="__ta105">#REF!</definedName>
    <definedName name="__ta157" localSheetId="0">#REF!</definedName>
    <definedName name="__ta157">#REF!</definedName>
    <definedName name="__xlnm.Print_Area" localSheetId="3">'CRON FIN - 5 MESES'!$A$1:$O$36</definedName>
    <definedName name="_a100000" localSheetId="0">#REF!</definedName>
    <definedName name="_a100000">#REF!</definedName>
    <definedName name="_a70000" localSheetId="0">#REF!</definedName>
    <definedName name="_a70000">#REF!</definedName>
    <definedName name="_apf1" localSheetId="0">#REF!</definedName>
    <definedName name="_apf1">#REF!</definedName>
    <definedName name="_c" localSheetId="0">[1]Q8!#REF!</definedName>
    <definedName name="_c">[1]Q8!#REF!</definedName>
    <definedName name="_cpf1" localSheetId="0">#REF!</definedName>
    <definedName name="_cpf1">#REF!</definedName>
    <definedName name="_xlnm._FilterDatabase" localSheetId="2" hidden="1">'ITEN DE MAIOR'!$A$5:$N$27</definedName>
    <definedName name="_xlnm._FilterDatabase" localSheetId="0" hidden="1">'MEMORIA DE CALCULO '!#REF!</definedName>
    <definedName name="_xlnm._FilterDatabase" localSheetId="6" hidden="1">Plan1!$A$3:$G$3</definedName>
    <definedName name="_Hlk387315004" localSheetId="6">Plan1!$B$101</definedName>
    <definedName name="_Order1" hidden="1">255</definedName>
    <definedName name="_SL6">#N/A</definedName>
    <definedName name="_ta105" localSheetId="0">#REF!</definedName>
    <definedName name="_ta105">#REF!</definedName>
    <definedName name="_ta157" localSheetId="0">#REF!</definedName>
    <definedName name="_ta157">#REF!</definedName>
    <definedName name="_Toc381285951" localSheetId="1">'auxiliar memoria'!$B$1</definedName>
    <definedName name="A">#REF!</definedName>
    <definedName name="AA">#REF!</definedName>
    <definedName name="AAA">#REF!</definedName>
    <definedName name="AAAAAA">#REF!</definedName>
    <definedName name="ABA">#REF!</definedName>
    <definedName name="ABRE_COLUNAS">#N/A</definedName>
    <definedName name="ACERTA_TITULOS">#N/A</definedName>
    <definedName name="AGORA" localSheetId="0">#REF!</definedName>
    <definedName name="AGORA">#REF!</definedName>
    <definedName name="_xlnm.Print_Area" localSheetId="3">'CRON FIN - 5 MESES'!$A$1:$O$36</definedName>
    <definedName name="_xlnm.Print_Area" localSheetId="2">'ITEN DE MAIOR'!$A$1:$M$27</definedName>
    <definedName name="_xlnm.Print_Area" localSheetId="0">'MEMORIA DE CALCULO '!$A$1:$K$125</definedName>
    <definedName name="Área_impressão" localSheetId="0">#REF!</definedName>
    <definedName name="Área_impressão">#REF!</definedName>
    <definedName name="Área_impressão_IM" localSheetId="0">#REF!</definedName>
    <definedName name="Área_impressão_IM">#REF!</definedName>
    <definedName name="atual">[2]Imai03!$A$2:$D$3535</definedName>
    <definedName name="_xlnm.Database" localSheetId="0">#REF!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 localSheetId="0">#REF!</definedName>
    <definedName name="_xlnm.Criteria">#REF!</definedName>
    <definedName name="CUSTO_06" localSheetId="0">#REF!</definedName>
    <definedName name="CUSTO_06">#REF!</definedName>
    <definedName name="d" localSheetId="0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E">#REF!</definedName>
    <definedName name="EEEE">#REF!</definedName>
    <definedName name="EEEEE">#REF!</definedName>
    <definedName name="EEEEEE">#REF!</definedName>
    <definedName name="EEEEEEEE">#REF!</definedName>
    <definedName name="ERRO">#N/A</definedName>
    <definedName name="Excel_BuiltIn_Criteria" localSheetId="0">#REF!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 localSheetId="0">#REF!</definedName>
    <definedName name="Excel_BuiltIn_Print_Area_2_1">#REF!</definedName>
    <definedName name="Excel_BuiltIn_Print_Area_2_1_6" localSheetId="0">#REF!</definedName>
    <definedName name="Excel_BuiltIn_Print_Area_2_1_6">#REF!</definedName>
    <definedName name="Excel_BuiltIn_Print_Area_6_1" localSheetId="0">#REF!</definedName>
    <definedName name="Excel_BuiltIn_Print_Area_6_1">#REF!</definedName>
    <definedName name="Excel_BuiltIn_Print_Area_6_1_6" localSheetId="0">#REF!</definedName>
    <definedName name="Excel_BuiltIn_Print_Area_6_1_6">#REF!</definedName>
    <definedName name="f" localSheetId="0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 localSheetId="0">'[7]1-1'!#REF!</definedName>
    <definedName name="KAPA">'[7]1-1'!#REF!</definedName>
    <definedName name="L_">#N/A</definedName>
    <definedName name="MENSAGEM">#N/A</definedName>
    <definedName name="MENSSAGEM_ERRO">#N/A</definedName>
    <definedName name="MM" localSheetId="0">#REF!</definedName>
    <definedName name="MM">#REF!</definedName>
    <definedName name="N_FOLHAS">#N/A</definedName>
    <definedName name="ok">[2]Imai03!$A$2:$D$3535</definedName>
    <definedName name="Percentual_adm_local" localSheetId="0">#REF!</definedName>
    <definedName name="Percentual_adm_local">#REF!</definedName>
    <definedName name="Preço_unit_total_comp" localSheetId="0">#REF!</definedName>
    <definedName name="Preço_unit_total_comp">#REF!</definedName>
    <definedName name="Q">#REF!</definedName>
    <definedName name="QA">#N/A</definedName>
    <definedName name="QQ">#REF!</definedName>
    <definedName name="QQQ">#REF!</definedName>
    <definedName name="QQQQ">[1]Q8!#REF!</definedName>
    <definedName name="QQQQQ">#REF!</definedName>
    <definedName name="QQQQQQ">#REF!</definedName>
    <definedName name="RETORNA_CURSOR">#N/A</definedName>
    <definedName name="RR">#REF!</definedName>
    <definedName name="RRR">#REF!</definedName>
    <definedName name="RRRR">#REF!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_xlnm.Print_Titles" localSheetId="2">'ITEN DE MAIOR'!$2:$5</definedName>
    <definedName name="_xlnm.Print_Titles" localSheetId="0">'MEMORIA DE CALCULO '!$1:$3</definedName>
    <definedName name="UA">#N/A</definedName>
    <definedName name="VALOR">#N/A</definedName>
    <definedName name="VALOR_1">#N/A</definedName>
    <definedName name="VALOR_2">#N/A</definedName>
    <definedName name="Valor_total_cal" localSheetId="0">#REF!</definedName>
    <definedName name="Valor_total_cal">#REF!</definedName>
    <definedName name="VERIFICA_SI">#N/A</definedName>
    <definedName name="W">#REF!</definedName>
    <definedName name="WW">#REF!</definedName>
    <definedName name="WWW">#REF!</definedName>
    <definedName name="WWWW">#REF!</definedName>
    <definedName name="WWWWW">#REF!</definedName>
    <definedName name="WWWWWW">#REF!</definedName>
    <definedName name="WWWWWWW">#REF!</definedName>
    <definedName name="WWWWWWWW">#REF!</definedName>
    <definedName name="WWWWWWWWW">'[7]1-1'!#REF!</definedName>
    <definedName name="WWWWWWWWWW">#REF!</definedName>
    <definedName name="Z_385977A3_6FE9_40C9_8548_2B73DA2662B2_.wvu.Cols" localSheetId="3" hidden="1">'CRON FIN - 5 MESES'!$X:$Z,'CRON FIN - 5 MESES'!$JT:$JV,'CRON FIN - 5 MESES'!$TP:$TR,'CRON FIN - 5 MESES'!$ADL:$ADN,'CRON FIN - 5 MESES'!$ANH:$ANJ,'CRON FIN - 5 MESES'!$AXD:$AXF,'CRON FIN - 5 MESES'!$BGZ:$BHB,'CRON FIN - 5 MESES'!$BQV:$BQX,'CRON FIN - 5 MESES'!$CAR:$CAT,'CRON FIN - 5 MESES'!$CKN:$CKP,'CRON FIN - 5 MESES'!$CUJ:$CUL,'CRON FIN - 5 MESES'!$DEF:$DEH,'CRON FIN - 5 MESES'!$DOB:$DOD,'CRON FIN - 5 MESES'!$DXX:$DXZ,'CRON FIN - 5 MESES'!$EHT:$EHV,'CRON FIN - 5 MESES'!$ERP:$ERR,'CRON FIN - 5 MESES'!$FBL:$FBN,'CRON FIN - 5 MESES'!$FLH:$FLJ,'CRON FIN - 5 MESES'!$FVD:$FVF,'CRON FIN - 5 MESES'!$GEZ:$GFB,'CRON FIN - 5 MESES'!$GOV:$GOX,'CRON FIN - 5 MESES'!$GYR:$GYT,'CRON FIN - 5 MESES'!$HIN:$HIP,'CRON FIN - 5 MESES'!$HSJ:$HSL,'CRON FIN - 5 MESES'!$ICF:$ICH,'CRON FIN - 5 MESES'!$IMB:$IMD,'CRON FIN - 5 MESES'!$IVX:$IVZ,'CRON FIN - 5 MESES'!$JFT:$JFV,'CRON FIN - 5 MESES'!$JPP:$JPR,'CRON FIN - 5 MESES'!$JZL:$JZN,'CRON FIN - 5 MESES'!$KJH:$KJJ,'CRON FIN - 5 MESES'!$KTD:$KTF,'CRON FIN - 5 MESES'!$LCZ:$LDB,'CRON FIN - 5 MESES'!$LMV:$LMX,'CRON FIN - 5 MESES'!$LWR:$LWT,'CRON FIN - 5 MESES'!$MGN:$MGP,'CRON FIN - 5 MESES'!$MQJ:$MQL,'CRON FIN - 5 MESES'!$NAF:$NAH,'CRON FIN - 5 MESES'!$NKB:$NKD,'CRON FIN - 5 MESES'!$NTX:$NTZ,'CRON FIN - 5 MESES'!$ODT:$ODV,'CRON FIN - 5 MESES'!$ONP:$ONR,'CRON FIN - 5 MESES'!$OXL:$OXN,'CRON FIN - 5 MESES'!$PHH:$PHJ,'CRON FIN - 5 MESES'!$PRD:$PRF,'CRON FIN - 5 MESES'!$QAZ:$QBB,'CRON FIN - 5 MESES'!$QKV:$QKX,'CRON FIN - 5 MESES'!$QUR:$QUT,'CRON FIN - 5 MESES'!$REN:$REP,'CRON FIN - 5 MESES'!$ROJ:$ROL,'CRON FIN - 5 MESES'!$RYF:$RYH,'CRON FIN - 5 MESES'!$SIB:$SID,'CRON FIN - 5 MESES'!$SRX:$SRZ,'CRON FIN - 5 MESES'!$TBT:$TBV,'CRON FIN - 5 MESES'!$TLP:$TLR,'CRON FIN - 5 MESES'!$TVL:$TVN,'CRON FIN - 5 MESES'!$UFH:$UFJ,'CRON FIN - 5 MESES'!$UPD:$UPF,'CRON FIN - 5 MESES'!$UYZ:$UZB,'CRON FIN - 5 MESES'!$VIV:$VIX,'CRON FIN - 5 MESES'!$VSR:$VST,'CRON FIN - 5 MESES'!$WCN:$WCP,'CRON FIN - 5 MESES'!$WMJ:$WML,'CRON FIN - 5 MESES'!$WWF:$WWH</definedName>
    <definedName name="Z_385977A3_6FE9_40C9_8548_2B73DA2662B2_.wvu.Cols" localSheetId="2" hidden="1">'ITEN DE MAIOR'!$A:$C,'ITEN DE MAIOR'!$E:$E</definedName>
    <definedName name="Z_385977A3_6FE9_40C9_8548_2B73DA2662B2_.wvu.Cols" localSheetId="0" hidden="1">'MEMORIA DE CALCULO '!#REF!,'MEMORIA DE CALCULO '!#REF!</definedName>
    <definedName name="Z_385977A3_6FE9_40C9_8548_2B73DA2662B2_.wvu.FilterData" localSheetId="2" hidden="1">'ITEN DE MAIOR'!$A$5:$N$27</definedName>
    <definedName name="Z_385977A3_6FE9_40C9_8548_2B73DA2662B2_.wvu.FilterData" localSheetId="0" hidden="1">'MEMORIA DE CALCULO '!$B$1:$B$937</definedName>
    <definedName name="Z_385977A3_6FE9_40C9_8548_2B73DA2662B2_.wvu.FilterData" localSheetId="6" hidden="1">Plan1!$A$3:$G$3</definedName>
    <definedName name="Z_385977A3_6FE9_40C9_8548_2B73DA2662B2_.wvu.PrintArea" localSheetId="3" hidden="1">'CRON FIN - 5 MESES'!$A$1:$O$36</definedName>
    <definedName name="Z_385977A3_6FE9_40C9_8548_2B73DA2662B2_.wvu.PrintArea" localSheetId="2" hidden="1">'ITEN DE MAIOR'!$A$1:$M$27</definedName>
    <definedName name="Z_385977A3_6FE9_40C9_8548_2B73DA2662B2_.wvu.PrintArea" localSheetId="0" hidden="1">'MEMORIA DE CALCULO '!$A$1:$K$117</definedName>
    <definedName name="Z_385977A3_6FE9_40C9_8548_2B73DA2662B2_.wvu.PrintTitles" localSheetId="2" hidden="1">'ITEN DE MAIOR'!$2:$5</definedName>
    <definedName name="Z_385977A3_6FE9_40C9_8548_2B73DA2662B2_.wvu.PrintTitles" localSheetId="0" hidden="1">'MEMORIA DE CALCULO '!$1:$3</definedName>
    <definedName name="Z_385977A3_6FE9_40C9_8548_2B73DA2662B2_.wvu.Rows" localSheetId="2" hidden="1">'ITEN DE MAIOR'!$26:$26</definedName>
    <definedName name="Z_BF95D06F_A801_4955_B76D_3C2C36D85037_.wvu.Cols" localSheetId="3" hidden="1">'CRON FIN - 5 MESES'!$X:$Z,'CRON FIN - 5 MESES'!$JT:$JV,'CRON FIN - 5 MESES'!$TP:$TR,'CRON FIN - 5 MESES'!$ADL:$ADN,'CRON FIN - 5 MESES'!$ANH:$ANJ,'CRON FIN - 5 MESES'!$AXD:$AXF,'CRON FIN - 5 MESES'!$BGZ:$BHB,'CRON FIN - 5 MESES'!$BQV:$BQX,'CRON FIN - 5 MESES'!$CAR:$CAT,'CRON FIN - 5 MESES'!$CKN:$CKP,'CRON FIN - 5 MESES'!$CUJ:$CUL,'CRON FIN - 5 MESES'!$DEF:$DEH,'CRON FIN - 5 MESES'!$DOB:$DOD,'CRON FIN - 5 MESES'!$DXX:$DXZ,'CRON FIN - 5 MESES'!$EHT:$EHV,'CRON FIN - 5 MESES'!$ERP:$ERR,'CRON FIN - 5 MESES'!$FBL:$FBN,'CRON FIN - 5 MESES'!$FLH:$FLJ,'CRON FIN - 5 MESES'!$FVD:$FVF,'CRON FIN - 5 MESES'!$GEZ:$GFB,'CRON FIN - 5 MESES'!$GOV:$GOX,'CRON FIN - 5 MESES'!$GYR:$GYT,'CRON FIN - 5 MESES'!$HIN:$HIP,'CRON FIN - 5 MESES'!$HSJ:$HSL,'CRON FIN - 5 MESES'!$ICF:$ICH,'CRON FIN - 5 MESES'!$IMB:$IMD,'CRON FIN - 5 MESES'!$IVX:$IVZ,'CRON FIN - 5 MESES'!$JFT:$JFV,'CRON FIN - 5 MESES'!$JPP:$JPR,'CRON FIN - 5 MESES'!$JZL:$JZN,'CRON FIN - 5 MESES'!$KJH:$KJJ,'CRON FIN - 5 MESES'!$KTD:$KTF,'CRON FIN - 5 MESES'!$LCZ:$LDB,'CRON FIN - 5 MESES'!$LMV:$LMX,'CRON FIN - 5 MESES'!$LWR:$LWT,'CRON FIN - 5 MESES'!$MGN:$MGP,'CRON FIN - 5 MESES'!$MQJ:$MQL,'CRON FIN - 5 MESES'!$NAF:$NAH,'CRON FIN - 5 MESES'!$NKB:$NKD,'CRON FIN - 5 MESES'!$NTX:$NTZ,'CRON FIN - 5 MESES'!$ODT:$ODV,'CRON FIN - 5 MESES'!$ONP:$ONR,'CRON FIN - 5 MESES'!$OXL:$OXN,'CRON FIN - 5 MESES'!$PHH:$PHJ,'CRON FIN - 5 MESES'!$PRD:$PRF,'CRON FIN - 5 MESES'!$QAZ:$QBB,'CRON FIN - 5 MESES'!$QKV:$QKX,'CRON FIN - 5 MESES'!$QUR:$QUT,'CRON FIN - 5 MESES'!$REN:$REP,'CRON FIN - 5 MESES'!$ROJ:$ROL,'CRON FIN - 5 MESES'!$RYF:$RYH,'CRON FIN - 5 MESES'!$SIB:$SID,'CRON FIN - 5 MESES'!$SRX:$SRZ,'CRON FIN - 5 MESES'!$TBT:$TBV,'CRON FIN - 5 MESES'!$TLP:$TLR,'CRON FIN - 5 MESES'!$TVL:$TVN,'CRON FIN - 5 MESES'!$UFH:$UFJ,'CRON FIN - 5 MESES'!$UPD:$UPF,'CRON FIN - 5 MESES'!$UYZ:$UZB,'CRON FIN - 5 MESES'!$VIV:$VIX,'CRON FIN - 5 MESES'!$VSR:$VST,'CRON FIN - 5 MESES'!$WCN:$WCP,'CRON FIN - 5 MESES'!$WMJ:$WML,'CRON FIN - 5 MESES'!$WWF:$WWH</definedName>
    <definedName name="Z_BF95D06F_A801_4955_B76D_3C2C36D85037_.wvu.Cols" localSheetId="2" hidden="1">'ITEN DE MAIOR'!$A:$C,'ITEN DE MAIOR'!$E:$E</definedName>
    <definedName name="Z_BF95D06F_A801_4955_B76D_3C2C36D85037_.wvu.Cols" localSheetId="0" hidden="1">'MEMORIA DE CALCULO '!#REF!,'MEMORIA DE CALCULO '!#REF!</definedName>
    <definedName name="Z_BF95D06F_A801_4955_B76D_3C2C36D85037_.wvu.FilterData" localSheetId="2" hidden="1">'ITEN DE MAIOR'!$A$5:$N$27</definedName>
    <definedName name="Z_BF95D06F_A801_4955_B76D_3C2C36D85037_.wvu.FilterData" localSheetId="0" hidden="1">'MEMORIA DE CALCULO '!#REF!</definedName>
    <definedName name="Z_BF95D06F_A801_4955_B76D_3C2C36D85037_.wvu.FilterData" localSheetId="6" hidden="1">Plan1!$A$3:$G$3</definedName>
    <definedName name="Z_BF95D06F_A801_4955_B76D_3C2C36D85037_.wvu.PrintArea" localSheetId="3" hidden="1">'CRON FIN - 5 MESES'!$A$1:$O$36</definedName>
    <definedName name="Z_BF95D06F_A801_4955_B76D_3C2C36D85037_.wvu.PrintArea" localSheetId="2" hidden="1">'ITEN DE MAIOR'!$A$1:$M$27</definedName>
    <definedName name="Z_BF95D06F_A801_4955_B76D_3C2C36D85037_.wvu.PrintArea" localSheetId="0" hidden="1">'MEMORIA DE CALCULO '!$A$1:$K$114</definedName>
    <definedName name="Z_BF95D06F_A801_4955_B76D_3C2C36D85037_.wvu.PrintTitles" localSheetId="2" hidden="1">'ITEN DE MAIOR'!$2:$5</definedName>
    <definedName name="Z_BF95D06F_A801_4955_B76D_3C2C36D85037_.wvu.PrintTitles" localSheetId="0" hidden="1">'MEMORIA DE CALCULO '!$1:$3</definedName>
    <definedName name="Z_BF95D06F_A801_4955_B76D_3C2C36D85037_.wvu.Rows" localSheetId="2" hidden="1">'ITEN DE MAIOR'!$26:$26</definedName>
  </definedNames>
  <calcPr calcId="162913"/>
  <customWorkbookViews>
    <customWorkbookView name="Victor Leonardo - Modo de exibição pessoal" guid="{BF95D06F-A801-4955-B76D-3C2C36D85037}" mergeInterval="0" personalView="1" maximized="1" xWindow="-1608" yWindow="177" windowWidth="1616" windowHeight="876" tabRatio="851" activeSheetId="4"/>
    <customWorkbookView name="Danyela Alessandra F. Braz - Modo de exibição pessoal" guid="{385977A3-6FE9-40C9-8548-2B73DA2662B2}" mergeInterval="0" personalView="1" maximized="1" xWindow="1358" yWindow="-8" windowWidth="1382" windowHeight="744" tabRatio="836" activeSheetId="4"/>
  </customWorkbookViews>
</workbook>
</file>

<file path=xl/calcChain.xml><?xml version="1.0" encoding="utf-8"?>
<calcChain xmlns="http://schemas.openxmlformats.org/spreadsheetml/2006/main">
  <c r="K124" i="26" l="1"/>
  <c r="K120" i="26"/>
  <c r="K116" i="26"/>
  <c r="K112" i="26"/>
  <c r="K108" i="26"/>
  <c r="K104" i="26"/>
  <c r="K100" i="26"/>
  <c r="K94" i="26"/>
  <c r="K90" i="26"/>
  <c r="K86" i="26"/>
  <c r="K82" i="26"/>
  <c r="K77" i="26"/>
  <c r="K74" i="26"/>
  <c r="K69" i="26"/>
  <c r="K65" i="26"/>
  <c r="K54" i="26"/>
  <c r="K49" i="26"/>
  <c r="K45" i="26"/>
  <c r="K40" i="26"/>
  <c r="G61" i="26" l="1"/>
  <c r="K60" i="26" s="1"/>
  <c r="B4" i="26"/>
  <c r="B5" i="26"/>
  <c r="H7" i="26"/>
  <c r="H11" i="26"/>
  <c r="H15" i="26"/>
  <c r="A31" i="26"/>
  <c r="B31" i="26"/>
  <c r="K27" i="26" l="1"/>
  <c r="K18" i="26"/>
  <c r="K28" i="26" l="1"/>
  <c r="K24" i="26"/>
  <c r="K23" i="26" s="1"/>
  <c r="K14" i="26" l="1"/>
  <c r="K6" i="26"/>
  <c r="K10" i="26" l="1"/>
  <c r="H770" i="26" l="1"/>
  <c r="H766" i="26"/>
  <c r="H765" i="26"/>
  <c r="H764" i="26"/>
  <c r="H763" i="26"/>
  <c r="H762" i="26"/>
  <c r="H761" i="26"/>
  <c r="H760" i="26"/>
  <c r="H759" i="26"/>
  <c r="H758" i="26"/>
  <c r="H754" i="26"/>
  <c r="E753" i="26"/>
  <c r="H753" i="26" s="1"/>
  <c r="H752" i="26"/>
  <c r="H751" i="26"/>
  <c r="H750" i="26"/>
  <c r="H749" i="26"/>
  <c r="E742" i="26"/>
  <c r="E740" i="26"/>
  <c r="H735" i="26"/>
  <c r="K735" i="26" s="1"/>
  <c r="H734" i="26"/>
  <c r="K734" i="26" s="1"/>
  <c r="H733" i="26"/>
  <c r="K733" i="26" s="1"/>
  <c r="H732" i="26"/>
  <c r="K732" i="26" s="1"/>
  <c r="H731" i="26"/>
  <c r="K731" i="26" s="1"/>
  <c r="H730" i="26"/>
  <c r="K730" i="26" s="1"/>
  <c r="H729" i="26"/>
  <c r="K729" i="26" s="1"/>
  <c r="H728" i="26"/>
  <c r="K728" i="26" s="1"/>
  <c r="H726" i="26"/>
  <c r="K726" i="26" s="1"/>
  <c r="H725" i="26"/>
  <c r="K725" i="26" s="1"/>
  <c r="H724" i="26"/>
  <c r="K724" i="26" s="1"/>
  <c r="H723" i="26"/>
  <c r="K723" i="26" s="1"/>
  <c r="H722" i="26"/>
  <c r="K722" i="26" s="1"/>
  <c r="H721" i="26"/>
  <c r="K721" i="26" s="1"/>
  <c r="H720" i="26"/>
  <c r="K720" i="26" s="1"/>
  <c r="H719" i="26"/>
  <c r="K719" i="26" s="1"/>
  <c r="H718" i="26"/>
  <c r="K718" i="26" s="1"/>
  <c r="H717" i="26"/>
  <c r="K717" i="26" s="1"/>
  <c r="H716" i="26"/>
  <c r="K716" i="26" s="1"/>
  <c r="K715" i="26"/>
  <c r="H713" i="26"/>
  <c r="K713" i="26" s="1"/>
  <c r="H712" i="26"/>
  <c r="K712" i="26" s="1"/>
  <c r="H711" i="26"/>
  <c r="K711" i="26" s="1"/>
  <c r="H710" i="26"/>
  <c r="K710" i="26" s="1"/>
  <c r="H709" i="26"/>
  <c r="K709" i="26" s="1"/>
  <c r="H708" i="26"/>
  <c r="K708" i="26" s="1"/>
  <c r="H707" i="26"/>
  <c r="K707" i="26" s="1"/>
  <c r="H706" i="26"/>
  <c r="K706" i="26" s="1"/>
  <c r="H705" i="26"/>
  <c r="K705" i="26" s="1"/>
  <c r="H704" i="26"/>
  <c r="K704" i="26" s="1"/>
  <c r="H703" i="26"/>
  <c r="K703" i="26" s="1"/>
  <c r="H702" i="26"/>
  <c r="K702" i="26" s="1"/>
  <c r="H701" i="26"/>
  <c r="K701" i="26" s="1"/>
  <c r="H700" i="26"/>
  <c r="K700" i="26" s="1"/>
  <c r="H699" i="26"/>
  <c r="K699" i="26" s="1"/>
  <c r="H698" i="26"/>
  <c r="K698" i="26" s="1"/>
  <c r="H697" i="26"/>
  <c r="K697" i="26" s="1"/>
  <c r="H696" i="26"/>
  <c r="K696" i="26" s="1"/>
  <c r="H695" i="26"/>
  <c r="K695" i="26" s="1"/>
  <c r="H694" i="26"/>
  <c r="K694" i="26" s="1"/>
  <c r="H693" i="26"/>
  <c r="K693" i="26" s="1"/>
  <c r="H692" i="26"/>
  <c r="K692" i="26" s="1"/>
  <c r="G691" i="26"/>
  <c r="H691" i="26" s="1"/>
  <c r="K691" i="26" s="1"/>
  <c r="H690" i="26"/>
  <c r="K690" i="26" s="1"/>
  <c r="H689" i="26"/>
  <c r="K689" i="26" s="1"/>
  <c r="H688" i="26"/>
  <c r="K688" i="26" s="1"/>
  <c r="H687" i="26"/>
  <c r="K687" i="26" s="1"/>
  <c r="H686" i="26"/>
  <c r="K686" i="26" s="1"/>
  <c r="H685" i="26"/>
  <c r="K685" i="26" s="1"/>
  <c r="H684" i="26"/>
  <c r="K684" i="26" s="1"/>
  <c r="H683" i="26"/>
  <c r="K683" i="26" s="1"/>
  <c r="H682" i="26"/>
  <c r="K682" i="26" s="1"/>
  <c r="H681" i="26"/>
  <c r="K681" i="26" s="1"/>
  <c r="H680" i="26"/>
  <c r="K680" i="26" s="1"/>
  <c r="H679" i="26"/>
  <c r="K679" i="26" s="1"/>
  <c r="H678" i="26"/>
  <c r="K678" i="26" s="1"/>
  <c r="K677" i="26"/>
  <c r="K676" i="26"/>
  <c r="H673" i="26"/>
  <c r="H672" i="26"/>
  <c r="H671" i="26"/>
  <c r="H658" i="26"/>
  <c r="E657" i="26"/>
  <c r="H657" i="26" s="1"/>
  <c r="E656" i="26"/>
  <c r="H656" i="26" s="1"/>
  <c r="E655" i="26"/>
  <c r="H655" i="26" s="1"/>
  <c r="E654" i="26"/>
  <c r="H654" i="26" s="1"/>
  <c r="E653" i="26"/>
  <c r="H653" i="26" s="1"/>
  <c r="E652" i="26"/>
  <c r="H652" i="26" s="1"/>
  <c r="E651" i="26"/>
  <c r="H651" i="26" s="1"/>
  <c r="E650" i="26"/>
  <c r="H650" i="26" s="1"/>
  <c r="H643" i="26"/>
  <c r="I643" i="26" s="1"/>
  <c r="H642" i="26"/>
  <c r="I642" i="26" s="1"/>
  <c r="I641" i="26"/>
  <c r="H640" i="26"/>
  <c r="I640" i="26" s="1"/>
  <c r="H639" i="26"/>
  <c r="I639" i="26" s="1"/>
  <c r="H638" i="26"/>
  <c r="I638" i="26" s="1"/>
  <c r="I637" i="26"/>
  <c r="I635" i="26"/>
  <c r="I634" i="26"/>
  <c r="E625" i="26"/>
  <c r="E624" i="26"/>
  <c r="E622" i="26"/>
  <c r="E613" i="26"/>
  <c r="E586" i="26"/>
  <c r="H574" i="26"/>
  <c r="I574" i="26" s="1"/>
  <c r="H573" i="26"/>
  <c r="I573" i="26" s="1"/>
  <c r="H572" i="26"/>
  <c r="I572" i="26" s="1"/>
  <c r="H571" i="26"/>
  <c r="I571" i="26" s="1"/>
  <c r="H570" i="26"/>
  <c r="I570" i="26" s="1"/>
  <c r="H568" i="26"/>
  <c r="I568" i="26" s="1"/>
  <c r="H567" i="26"/>
  <c r="I567" i="26" s="1"/>
  <c r="H566" i="26"/>
  <c r="I566" i="26" s="1"/>
  <c r="H565" i="26"/>
  <c r="I565" i="26" s="1"/>
  <c r="H564" i="26"/>
  <c r="I564" i="26" s="1"/>
  <c r="H563" i="26"/>
  <c r="I563" i="26" s="1"/>
  <c r="E562" i="26"/>
  <c r="H562" i="26" s="1"/>
  <c r="I562" i="26" s="1"/>
  <c r="E561" i="26"/>
  <c r="H561" i="26" s="1"/>
  <c r="I561" i="26" s="1"/>
  <c r="H560" i="26"/>
  <c r="I560" i="26" s="1"/>
  <c r="E559" i="26"/>
  <c r="H559" i="26" s="1"/>
  <c r="I559" i="26" s="1"/>
  <c r="H556" i="26"/>
  <c r="I556" i="26" s="1"/>
  <c r="H555" i="26"/>
  <c r="I555" i="26" s="1"/>
  <c r="H554" i="26"/>
  <c r="I554" i="26" s="1"/>
  <c r="H553" i="26"/>
  <c r="I553" i="26" s="1"/>
  <c r="H552" i="26"/>
  <c r="I552" i="26" s="1"/>
  <c r="H551" i="26"/>
  <c r="I551" i="26" s="1"/>
  <c r="E550" i="26"/>
  <c r="H550" i="26" s="1"/>
  <c r="I550" i="26" s="1"/>
  <c r="H549" i="26"/>
  <c r="I549" i="26" s="1"/>
  <c r="H548" i="26"/>
  <c r="I548" i="26" s="1"/>
  <c r="H547" i="26"/>
  <c r="I547" i="26" s="1"/>
  <c r="H546" i="26"/>
  <c r="I546" i="26" s="1"/>
  <c r="H545" i="26"/>
  <c r="I545" i="26" s="1"/>
  <c r="H544" i="26"/>
  <c r="I544" i="26" s="1"/>
  <c r="H543" i="26"/>
  <c r="I543" i="26" s="1"/>
  <c r="H542" i="26"/>
  <c r="I542" i="26" s="1"/>
  <c r="H541" i="26"/>
  <c r="I541" i="26" s="1"/>
  <c r="H540" i="26"/>
  <c r="I540" i="26" s="1"/>
  <c r="H539" i="26"/>
  <c r="I539" i="26" s="1"/>
  <c r="H538" i="26"/>
  <c r="I538" i="26" s="1"/>
  <c r="H537" i="26"/>
  <c r="I537" i="26" s="1"/>
  <c r="H536" i="26"/>
  <c r="I536" i="26" s="1"/>
  <c r="H535" i="26"/>
  <c r="I535" i="26" s="1"/>
  <c r="H534" i="26"/>
  <c r="I534" i="26" s="1"/>
  <c r="H533" i="26"/>
  <c r="I533" i="26" s="1"/>
  <c r="H532" i="26"/>
  <c r="I532" i="26" s="1"/>
  <c r="H531" i="26"/>
  <c r="I531" i="26" s="1"/>
  <c r="H530" i="26"/>
  <c r="I530" i="26" s="1"/>
  <c r="H529" i="26"/>
  <c r="I529" i="26" s="1"/>
  <c r="H528" i="26"/>
  <c r="I528" i="26" s="1"/>
  <c r="H527" i="26"/>
  <c r="I527" i="26" s="1"/>
  <c r="H526" i="26"/>
  <c r="I526" i="26" s="1"/>
  <c r="H525" i="26"/>
  <c r="I525" i="26" s="1"/>
  <c r="H524" i="26"/>
  <c r="I524" i="26" s="1"/>
  <c r="E523" i="26"/>
  <c r="H523" i="26" s="1"/>
  <c r="I523" i="26" s="1"/>
  <c r="H522" i="26"/>
  <c r="I522" i="26" s="1"/>
  <c r="H521" i="26"/>
  <c r="I521" i="26" s="1"/>
  <c r="H520" i="26"/>
  <c r="I520" i="26" s="1"/>
  <c r="H519" i="26"/>
  <c r="I519" i="26" s="1"/>
  <c r="H518" i="26"/>
  <c r="I518" i="26" s="1"/>
  <c r="H517" i="26"/>
  <c r="I517" i="26" s="1"/>
  <c r="H516" i="26"/>
  <c r="I516" i="26" s="1"/>
  <c r="H515" i="26"/>
  <c r="I515" i="26" s="1"/>
  <c r="H514" i="26"/>
  <c r="I514" i="26" s="1"/>
  <c r="H513" i="26"/>
  <c r="I513" i="26" s="1"/>
  <c r="H509" i="26"/>
  <c r="K509" i="26" s="1"/>
  <c r="H508" i="26"/>
  <c r="K508" i="26" s="1"/>
  <c r="H507" i="26"/>
  <c r="K507" i="26" s="1"/>
  <c r="H506" i="26"/>
  <c r="K506" i="26" s="1"/>
  <c r="H505" i="26"/>
  <c r="K505" i="26" s="1"/>
  <c r="G503" i="26"/>
  <c r="E503" i="26"/>
  <c r="H502" i="26"/>
  <c r="K502" i="26" s="1"/>
  <c r="H501" i="26"/>
  <c r="K501" i="26" s="1"/>
  <c r="G500" i="26"/>
  <c r="E500" i="26"/>
  <c r="H499" i="26"/>
  <c r="K499" i="26" s="1"/>
  <c r="H498" i="26"/>
  <c r="K498" i="26" s="1"/>
  <c r="H497" i="26"/>
  <c r="K497" i="26" s="1"/>
  <c r="H496" i="26"/>
  <c r="K496" i="26" s="1"/>
  <c r="H495" i="26"/>
  <c r="K495" i="26" s="1"/>
  <c r="G494" i="26"/>
  <c r="H494" i="26" s="1"/>
  <c r="K494" i="26" s="1"/>
  <c r="E493" i="26"/>
  <c r="H493" i="26" s="1"/>
  <c r="K493" i="26" s="1"/>
  <c r="H492" i="26"/>
  <c r="K492" i="26" s="1"/>
  <c r="H491" i="26"/>
  <c r="K491" i="26" s="1"/>
  <c r="E490" i="26"/>
  <c r="H490" i="26" s="1"/>
  <c r="K490" i="26" s="1"/>
  <c r="H489" i="26"/>
  <c r="K489" i="26" s="1"/>
  <c r="E488" i="26"/>
  <c r="H488" i="26" s="1"/>
  <c r="K488" i="26" s="1"/>
  <c r="H485" i="26"/>
  <c r="K485" i="26" s="1"/>
  <c r="H484" i="26"/>
  <c r="K484" i="26" s="1"/>
  <c r="H483" i="26"/>
  <c r="K483" i="26" s="1"/>
  <c r="H482" i="26"/>
  <c r="K482" i="26" s="1"/>
  <c r="H481" i="26"/>
  <c r="K481" i="26" s="1"/>
  <c r="H480" i="26"/>
  <c r="K480" i="26" s="1"/>
  <c r="E479" i="26"/>
  <c r="H479" i="26" s="1"/>
  <c r="K479" i="26" s="1"/>
  <c r="H478" i="26"/>
  <c r="K478" i="26" s="1"/>
  <c r="H477" i="26"/>
  <c r="K477" i="26" s="1"/>
  <c r="H476" i="26"/>
  <c r="K476" i="26" s="1"/>
  <c r="H475" i="26"/>
  <c r="K475" i="26" s="1"/>
  <c r="H474" i="26"/>
  <c r="K474" i="26" s="1"/>
  <c r="H473" i="26"/>
  <c r="K473" i="26" s="1"/>
  <c r="H472" i="26"/>
  <c r="K472" i="26" s="1"/>
  <c r="H471" i="26"/>
  <c r="K471" i="26" s="1"/>
  <c r="H470" i="26"/>
  <c r="K470" i="26" s="1"/>
  <c r="H469" i="26"/>
  <c r="K469" i="26" s="1"/>
  <c r="H468" i="26"/>
  <c r="K468" i="26" s="1"/>
  <c r="H467" i="26"/>
  <c r="K467" i="26" s="1"/>
  <c r="H466" i="26"/>
  <c r="K466" i="26" s="1"/>
  <c r="H465" i="26"/>
  <c r="K465" i="26" s="1"/>
  <c r="H464" i="26"/>
  <c r="K464" i="26" s="1"/>
  <c r="H463" i="26"/>
  <c r="K463" i="26" s="1"/>
  <c r="H462" i="26"/>
  <c r="K462" i="26" s="1"/>
  <c r="H461" i="26"/>
  <c r="K461" i="26" s="1"/>
  <c r="H460" i="26"/>
  <c r="K460" i="26" s="1"/>
  <c r="H459" i="26"/>
  <c r="K459" i="26" s="1"/>
  <c r="H458" i="26"/>
  <c r="K458" i="26" s="1"/>
  <c r="H457" i="26"/>
  <c r="K457" i="26" s="1"/>
  <c r="H456" i="26"/>
  <c r="K456" i="26" s="1"/>
  <c r="H455" i="26"/>
  <c r="K455" i="26" s="1"/>
  <c r="H454" i="26"/>
  <c r="K454" i="26" s="1"/>
  <c r="H453" i="26"/>
  <c r="K453" i="26" s="1"/>
  <c r="E452" i="26"/>
  <c r="H452" i="26" s="1"/>
  <c r="K452" i="26" s="1"/>
  <c r="H451" i="26"/>
  <c r="K451" i="26" s="1"/>
  <c r="H450" i="26"/>
  <c r="K450" i="26" s="1"/>
  <c r="H449" i="26"/>
  <c r="K449" i="26" s="1"/>
  <c r="H448" i="26"/>
  <c r="K448" i="26" s="1"/>
  <c r="H447" i="26"/>
  <c r="K447" i="26" s="1"/>
  <c r="H446" i="26"/>
  <c r="K446" i="26" s="1"/>
  <c r="H445" i="26"/>
  <c r="K445" i="26" s="1"/>
  <c r="G444" i="26"/>
  <c r="E444" i="26"/>
  <c r="H443" i="26"/>
  <c r="K443" i="26" s="1"/>
  <c r="G442" i="26"/>
  <c r="E442" i="26"/>
  <c r="H441" i="26"/>
  <c r="K441" i="26" s="1"/>
  <c r="G440" i="26"/>
  <c r="E440" i="26"/>
  <c r="H439" i="26"/>
  <c r="K439" i="26" s="1"/>
  <c r="K435" i="26"/>
  <c r="K432" i="26"/>
  <c r="E431" i="26"/>
  <c r="K431" i="26" s="1"/>
  <c r="K430" i="26"/>
  <c r="K426" i="26"/>
  <c r="K425" i="26"/>
  <c r="L422" i="26"/>
  <c r="L421" i="26" s="1"/>
  <c r="G422" i="26"/>
  <c r="E422" i="26"/>
  <c r="L420" i="26"/>
  <c r="L419" i="26" s="1"/>
  <c r="G420" i="26"/>
  <c r="E420" i="26"/>
  <c r="L418" i="26"/>
  <c r="L417" i="26" s="1"/>
  <c r="G418" i="26"/>
  <c r="E418" i="26"/>
  <c r="L416" i="26"/>
  <c r="L415" i="26" s="1"/>
  <c r="G416" i="26"/>
  <c r="E416" i="26"/>
  <c r="L414" i="26"/>
  <c r="L413" i="26" s="1"/>
  <c r="G414" i="26"/>
  <c r="E414" i="26"/>
  <c r="L412" i="26"/>
  <c r="L411" i="26" s="1"/>
  <c r="G412" i="26"/>
  <c r="E412" i="26"/>
  <c r="L410" i="26"/>
  <c r="L409" i="26" s="1"/>
  <c r="G410" i="26"/>
  <c r="E410" i="26"/>
  <c r="L408" i="26"/>
  <c r="L407" i="26" s="1"/>
  <c r="G408" i="26"/>
  <c r="E408" i="26"/>
  <c r="L406" i="26"/>
  <c r="L405" i="26" s="1"/>
  <c r="G406" i="26"/>
  <c r="E406" i="26"/>
  <c r="L404" i="26"/>
  <c r="L403" i="26" s="1"/>
  <c r="G404" i="26"/>
  <c r="E404" i="26"/>
  <c r="L402" i="26"/>
  <c r="L401" i="26" s="1"/>
  <c r="G402" i="26"/>
  <c r="E402" i="26"/>
  <c r="L400" i="26"/>
  <c r="L399" i="26" s="1"/>
  <c r="G400" i="26"/>
  <c r="E400" i="26"/>
  <c r="L398" i="26"/>
  <c r="L397" i="26" s="1"/>
  <c r="G398" i="26"/>
  <c r="E398" i="26"/>
  <c r="L396" i="26"/>
  <c r="L395" i="26" s="1"/>
  <c r="G396" i="26"/>
  <c r="E396" i="26"/>
  <c r="L394" i="26"/>
  <c r="L393" i="26" s="1"/>
  <c r="G394" i="26"/>
  <c r="E394" i="26"/>
  <c r="L392" i="26"/>
  <c r="L391" i="26" s="1"/>
  <c r="G392" i="26"/>
  <c r="E392" i="26"/>
  <c r="L390" i="26"/>
  <c r="L389" i="26" s="1"/>
  <c r="G390" i="26"/>
  <c r="E390" i="26"/>
  <c r="L388" i="26"/>
  <c r="L387" i="26" s="1"/>
  <c r="G388" i="26"/>
  <c r="E388" i="26"/>
  <c r="L386" i="26"/>
  <c r="L385" i="26" s="1"/>
  <c r="G386" i="26"/>
  <c r="E386" i="26"/>
  <c r="L384" i="26"/>
  <c r="L383" i="26" s="1"/>
  <c r="G384" i="26"/>
  <c r="E384" i="26"/>
  <c r="L382" i="26"/>
  <c r="L381" i="26" s="1"/>
  <c r="G382" i="26"/>
  <c r="E382" i="26"/>
  <c r="L380" i="26"/>
  <c r="L379" i="26" s="1"/>
  <c r="G380" i="26"/>
  <c r="E380" i="26"/>
  <c r="L378" i="26"/>
  <c r="L377" i="26" s="1"/>
  <c r="G378" i="26"/>
  <c r="E378" i="26"/>
  <c r="L376" i="26"/>
  <c r="L375" i="26" s="1"/>
  <c r="G376" i="26"/>
  <c r="E376" i="26"/>
  <c r="L374" i="26"/>
  <c r="L373" i="26" s="1"/>
  <c r="G374" i="26"/>
  <c r="E374" i="26"/>
  <c r="L372" i="26"/>
  <c r="L371" i="26" s="1"/>
  <c r="G372" i="26"/>
  <c r="E372" i="26"/>
  <c r="L370" i="26"/>
  <c r="L369" i="26" s="1"/>
  <c r="G370" i="26"/>
  <c r="E370" i="26"/>
  <c r="L368" i="26"/>
  <c r="L367" i="26" s="1"/>
  <c r="G368" i="26"/>
  <c r="E368" i="26"/>
  <c r="L366" i="26"/>
  <c r="L365" i="26" s="1"/>
  <c r="G366" i="26"/>
  <c r="E366" i="26"/>
  <c r="L364" i="26"/>
  <c r="L363" i="26" s="1"/>
  <c r="G364" i="26"/>
  <c r="E364" i="26"/>
  <c r="L362" i="26"/>
  <c r="G362" i="26"/>
  <c r="E362" i="26"/>
  <c r="L360" i="26"/>
  <c r="L359" i="26" s="1"/>
  <c r="G360" i="26"/>
  <c r="E360" i="26"/>
  <c r="L358" i="26"/>
  <c r="L357" i="26" s="1"/>
  <c r="G358" i="26"/>
  <c r="E358" i="26"/>
  <c r="L356" i="26"/>
  <c r="L355" i="26" s="1"/>
  <c r="G356" i="26"/>
  <c r="E356" i="26"/>
  <c r="L352" i="26"/>
  <c r="L351" i="26" s="1"/>
  <c r="G352" i="26"/>
  <c r="E352" i="26"/>
  <c r="L350" i="26"/>
  <c r="L349" i="26" s="1"/>
  <c r="G350" i="26"/>
  <c r="E350" i="26"/>
  <c r="L348" i="26"/>
  <c r="L347" i="26" s="1"/>
  <c r="G348" i="26"/>
  <c r="E348" i="26"/>
  <c r="L346" i="26"/>
  <c r="L345" i="26" s="1"/>
  <c r="G346" i="26"/>
  <c r="E346" i="26"/>
  <c r="L344" i="26"/>
  <c r="L343" i="26" s="1"/>
  <c r="G344" i="26"/>
  <c r="E344" i="26"/>
  <c r="L342" i="26"/>
  <c r="L341" i="26" s="1"/>
  <c r="G342" i="26"/>
  <c r="E342" i="26"/>
  <c r="L340" i="26"/>
  <c r="L339" i="26" s="1"/>
  <c r="G340" i="26"/>
  <c r="E340" i="26"/>
  <c r="L338" i="26"/>
  <c r="L337" i="26" s="1"/>
  <c r="G338" i="26"/>
  <c r="E338" i="26"/>
  <c r="L336" i="26"/>
  <c r="L335" i="26" s="1"/>
  <c r="G336" i="26"/>
  <c r="E336" i="26"/>
  <c r="L334" i="26"/>
  <c r="L333" i="26" s="1"/>
  <c r="G334" i="26"/>
  <c r="E334" i="26"/>
  <c r="L332" i="26"/>
  <c r="L331" i="26" s="1"/>
  <c r="G332" i="26"/>
  <c r="E332" i="26"/>
  <c r="L330" i="26"/>
  <c r="L329" i="26" s="1"/>
  <c r="G330" i="26"/>
  <c r="E330" i="26"/>
  <c r="L328" i="26"/>
  <c r="L327" i="26" s="1"/>
  <c r="G328" i="26"/>
  <c r="E328" i="26"/>
  <c r="L326" i="26"/>
  <c r="L325" i="26" s="1"/>
  <c r="G326" i="26"/>
  <c r="E326" i="26"/>
  <c r="L324" i="26"/>
  <c r="L323" i="26" s="1"/>
  <c r="G324" i="26"/>
  <c r="E324" i="26"/>
  <c r="L322" i="26"/>
  <c r="L321" i="26" s="1"/>
  <c r="G322" i="26"/>
  <c r="E322" i="26"/>
  <c r="L320" i="26"/>
  <c r="L319" i="26" s="1"/>
  <c r="G320" i="26"/>
  <c r="E320" i="26"/>
  <c r="L318" i="26"/>
  <c r="L317" i="26" s="1"/>
  <c r="G318" i="26"/>
  <c r="E318" i="26"/>
  <c r="L316" i="26"/>
  <c r="L315" i="26" s="1"/>
  <c r="G316" i="26"/>
  <c r="E316" i="26"/>
  <c r="L314" i="26"/>
  <c r="L313" i="26" s="1"/>
  <c r="G314" i="26"/>
  <c r="E314" i="26"/>
  <c r="L312" i="26"/>
  <c r="L311" i="26" s="1"/>
  <c r="G312" i="26"/>
  <c r="E312" i="26"/>
  <c r="L310" i="26"/>
  <c r="L309" i="26" s="1"/>
  <c r="G310" i="26"/>
  <c r="E310" i="26"/>
  <c r="L308" i="26"/>
  <c r="L307" i="26" s="1"/>
  <c r="G308" i="26"/>
  <c r="E308" i="26"/>
  <c r="L306" i="26"/>
  <c r="L305" i="26" s="1"/>
  <c r="G306" i="26"/>
  <c r="E306" i="26"/>
  <c r="L304" i="26"/>
  <c r="L303" i="26" s="1"/>
  <c r="G304" i="26"/>
  <c r="E304" i="26"/>
  <c r="L302" i="26"/>
  <c r="L301" i="26" s="1"/>
  <c r="G302" i="26"/>
  <c r="E302" i="26"/>
  <c r="L300" i="26"/>
  <c r="L299" i="26" s="1"/>
  <c r="G300" i="26"/>
  <c r="E300" i="26"/>
  <c r="L298" i="26"/>
  <c r="L297" i="26" s="1"/>
  <c r="G298" i="26"/>
  <c r="E298" i="26"/>
  <c r="L296" i="26"/>
  <c r="L295" i="26" s="1"/>
  <c r="G296" i="26"/>
  <c r="E296" i="26"/>
  <c r="L294" i="26"/>
  <c r="L293" i="26" s="1"/>
  <c r="G294" i="26"/>
  <c r="E294" i="26"/>
  <c r="L292" i="26"/>
  <c r="L291" i="26" s="1"/>
  <c r="G292" i="26"/>
  <c r="E292" i="26"/>
  <c r="L290" i="26"/>
  <c r="L289" i="26" s="1"/>
  <c r="G290" i="26"/>
  <c r="E290" i="26"/>
  <c r="L288" i="26"/>
  <c r="L287" i="26" s="1"/>
  <c r="G288" i="26"/>
  <c r="E288" i="26"/>
  <c r="L286" i="26"/>
  <c r="L285" i="26" s="1"/>
  <c r="G286" i="26"/>
  <c r="E286" i="26"/>
  <c r="L284" i="26"/>
  <c r="L283" i="26" s="1"/>
  <c r="G284" i="26"/>
  <c r="E284" i="26"/>
  <c r="L282" i="26"/>
  <c r="L281" i="26" s="1"/>
  <c r="G282" i="26"/>
  <c r="E282" i="26"/>
  <c r="L280" i="26"/>
  <c r="L279" i="26" s="1"/>
  <c r="G280" i="26"/>
  <c r="E280" i="26"/>
  <c r="L278" i="26"/>
  <c r="L277" i="26" s="1"/>
  <c r="G278" i="26"/>
  <c r="E278" i="26"/>
  <c r="L276" i="26"/>
  <c r="L275" i="26" s="1"/>
  <c r="G276" i="26"/>
  <c r="E276" i="26"/>
  <c r="L274" i="26"/>
  <c r="G274" i="26"/>
  <c r="E274" i="26"/>
  <c r="L272" i="26"/>
  <c r="L271" i="26" s="1"/>
  <c r="G272" i="26"/>
  <c r="E272" i="26"/>
  <c r="L270" i="26"/>
  <c r="L269" i="26" s="1"/>
  <c r="G270" i="26"/>
  <c r="E270" i="26"/>
  <c r="L268" i="26"/>
  <c r="L267" i="26" s="1"/>
  <c r="G268" i="26"/>
  <c r="E268" i="26"/>
  <c r="L266" i="26"/>
  <c r="L265" i="26" s="1"/>
  <c r="G266" i="26"/>
  <c r="E266" i="26"/>
  <c r="H261" i="26"/>
  <c r="K261" i="26" s="1"/>
  <c r="H260" i="26"/>
  <c r="K260" i="26" s="1"/>
  <c r="H259" i="26"/>
  <c r="K259" i="26" s="1"/>
  <c r="H258" i="26"/>
  <c r="K258" i="26" s="1"/>
  <c r="H257" i="26"/>
  <c r="K257" i="26" s="1"/>
  <c r="H256" i="26"/>
  <c r="K256" i="26" s="1"/>
  <c r="H255" i="26"/>
  <c r="K255" i="26" s="1"/>
  <c r="H254" i="26"/>
  <c r="K254" i="26" s="1"/>
  <c r="H252" i="26"/>
  <c r="K252" i="26" s="1"/>
  <c r="H251" i="26"/>
  <c r="K251" i="26" s="1"/>
  <c r="O250" i="26"/>
  <c r="G250" i="26"/>
  <c r="E250" i="26"/>
  <c r="H249" i="26"/>
  <c r="K249" i="26" s="1"/>
  <c r="O248" i="26"/>
  <c r="G248" i="26"/>
  <c r="E248" i="26"/>
  <c r="H247" i="26"/>
  <c r="K247" i="26" s="1"/>
  <c r="H246" i="26"/>
  <c r="K246" i="26" s="1"/>
  <c r="H245" i="26"/>
  <c r="K245" i="26" s="1"/>
  <c r="H244" i="26"/>
  <c r="K244" i="26" s="1"/>
  <c r="H243" i="26"/>
  <c r="K243" i="26" s="1"/>
  <c r="H242" i="26"/>
  <c r="K242" i="26" s="1"/>
  <c r="E241" i="26"/>
  <c r="H241" i="26" s="1"/>
  <c r="K241" i="26" s="1"/>
  <c r="E240" i="26"/>
  <c r="H240" i="26" s="1"/>
  <c r="K240" i="26" s="1"/>
  <c r="O239" i="26"/>
  <c r="G239" i="26"/>
  <c r="E239" i="26"/>
  <c r="H238" i="26"/>
  <c r="K238" i="26" s="1"/>
  <c r="H237" i="26"/>
  <c r="K237" i="26" s="1"/>
  <c r="H236" i="26"/>
  <c r="K236" i="26" s="1"/>
  <c r="H235" i="26"/>
  <c r="K235" i="26" s="1"/>
  <c r="G234" i="26"/>
  <c r="E234" i="26"/>
  <c r="G233" i="26"/>
  <c r="E233" i="26"/>
  <c r="H232" i="26"/>
  <c r="K232" i="26" s="1"/>
  <c r="E231" i="26"/>
  <c r="H231" i="26" s="1"/>
  <c r="K231" i="26" s="1"/>
  <c r="K230" i="26"/>
  <c r="H228" i="26"/>
  <c r="K228" i="26" s="1"/>
  <c r="H227" i="26"/>
  <c r="K227" i="26" s="1"/>
  <c r="H226" i="26"/>
  <c r="K226" i="26" s="1"/>
  <c r="O225" i="26"/>
  <c r="G225" i="26"/>
  <c r="E225" i="26"/>
  <c r="H224" i="26"/>
  <c r="K224" i="26" s="1"/>
  <c r="H223" i="26"/>
  <c r="K223" i="26" s="1"/>
  <c r="H222" i="26"/>
  <c r="K222" i="26" s="1"/>
  <c r="H221" i="26"/>
  <c r="K221" i="26" s="1"/>
  <c r="H220" i="26"/>
  <c r="K220" i="26" s="1"/>
  <c r="G219" i="26"/>
  <c r="H219" i="26" s="1"/>
  <c r="K219" i="26" s="1"/>
  <c r="H218" i="26"/>
  <c r="K218" i="26" s="1"/>
  <c r="H217" i="26"/>
  <c r="K217" i="26" s="1"/>
  <c r="H216" i="26"/>
  <c r="K216" i="26" s="1"/>
  <c r="H215" i="26"/>
  <c r="K215" i="26" s="1"/>
  <c r="H214" i="26"/>
  <c r="K214" i="26" s="1"/>
  <c r="H213" i="26"/>
  <c r="K213" i="26" s="1"/>
  <c r="H212" i="26"/>
  <c r="K212" i="26" s="1"/>
  <c r="H211" i="26"/>
  <c r="K211" i="26" s="1"/>
  <c r="H210" i="26"/>
  <c r="K210" i="26" s="1"/>
  <c r="H209" i="26"/>
  <c r="K209" i="26" s="1"/>
  <c r="H208" i="26"/>
  <c r="K208" i="26" s="1"/>
  <c r="H207" i="26"/>
  <c r="K207" i="26" s="1"/>
  <c r="H206" i="26"/>
  <c r="K206" i="26" s="1"/>
  <c r="H205" i="26"/>
  <c r="K205" i="26" s="1"/>
  <c r="H204" i="26"/>
  <c r="K204" i="26" s="1"/>
  <c r="H203" i="26"/>
  <c r="K203" i="26" s="1"/>
  <c r="H202" i="26"/>
  <c r="K202" i="26" s="1"/>
  <c r="H201" i="26"/>
  <c r="K201" i="26" s="1"/>
  <c r="H200" i="26"/>
  <c r="K200" i="26" s="1"/>
  <c r="G199" i="26"/>
  <c r="H199" i="26" s="1"/>
  <c r="K199" i="26" s="1"/>
  <c r="O198" i="26"/>
  <c r="G198" i="26"/>
  <c r="E198" i="26"/>
  <c r="H197" i="26"/>
  <c r="K197" i="26" s="1"/>
  <c r="H196" i="26"/>
  <c r="K196" i="26" s="1"/>
  <c r="H195" i="26"/>
  <c r="K195" i="26" s="1"/>
  <c r="H194" i="26"/>
  <c r="K194" i="26" s="1"/>
  <c r="H193" i="26"/>
  <c r="K193" i="26" s="1"/>
  <c r="H192" i="26"/>
  <c r="K192" i="26" s="1"/>
  <c r="H191" i="26"/>
  <c r="K191" i="26" s="1"/>
  <c r="H190" i="26"/>
  <c r="K190" i="26" s="1"/>
  <c r="O189" i="26"/>
  <c r="G189" i="26"/>
  <c r="E189" i="26"/>
  <c r="H188" i="26"/>
  <c r="K188" i="26" s="1"/>
  <c r="H187" i="26"/>
  <c r="K187" i="26" s="1"/>
  <c r="H186" i="26"/>
  <c r="K186" i="26" s="1"/>
  <c r="H185" i="26"/>
  <c r="K185" i="26" s="1"/>
  <c r="H184" i="26"/>
  <c r="K184" i="26" s="1"/>
  <c r="O183" i="26"/>
  <c r="G183" i="26"/>
  <c r="E183" i="26"/>
  <c r="H182" i="26"/>
  <c r="K182" i="26" s="1"/>
  <c r="G181" i="26"/>
  <c r="E181" i="26"/>
  <c r="G180" i="26"/>
  <c r="E180" i="26"/>
  <c r="G179" i="26"/>
  <c r="E179" i="26"/>
  <c r="O178" i="26"/>
  <c r="O179" i="26" s="1"/>
  <c r="O180" i="26" s="1"/>
  <c r="O181" i="26" s="1"/>
  <c r="G178" i="26"/>
  <c r="E178" i="26"/>
  <c r="H177" i="26"/>
  <c r="K177" i="26" s="1"/>
  <c r="K176" i="26"/>
  <c r="K173" i="26"/>
  <c r="K172" i="26"/>
  <c r="H171" i="26"/>
  <c r="K171" i="26" s="1"/>
  <c r="K170" i="26"/>
  <c r="K169" i="26"/>
  <c r="K168" i="26"/>
  <c r="K167" i="26"/>
  <c r="K166" i="26"/>
  <c r="H165" i="26"/>
  <c r="K165" i="26" s="1"/>
  <c r="K163" i="26"/>
  <c r="K162" i="26"/>
  <c r="K161" i="26"/>
  <c r="K160" i="26"/>
  <c r="K159" i="26"/>
  <c r="K158" i="26"/>
  <c r="K157" i="26"/>
  <c r="K156" i="26"/>
  <c r="K155" i="26"/>
  <c r="K154" i="26"/>
  <c r="K153" i="26"/>
  <c r="K152" i="26"/>
  <c r="K151" i="26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X3" i="26"/>
  <c r="W3" i="26"/>
  <c r="T3" i="26"/>
  <c r="S3" i="26"/>
  <c r="Q3" i="26"/>
  <c r="H189" i="26" l="1"/>
  <c r="K189" i="26" s="1"/>
  <c r="H316" i="26"/>
  <c r="K316" i="26" s="1"/>
  <c r="H324" i="26"/>
  <c r="K324" i="26" s="1"/>
  <c r="H314" i="26"/>
  <c r="K314" i="26" s="1"/>
  <c r="H179" i="26"/>
  <c r="K179" i="26" s="1"/>
  <c r="H282" i="26"/>
  <c r="K282" i="26" s="1"/>
  <c r="H288" i="26"/>
  <c r="K288" i="26" s="1"/>
  <c r="H312" i="26"/>
  <c r="K312" i="26" s="1"/>
  <c r="H286" i="26"/>
  <c r="K286" i="26" s="1"/>
  <c r="H294" i="26"/>
  <c r="K294" i="26" s="1"/>
  <c r="H302" i="26"/>
  <c r="K302" i="26" s="1"/>
  <c r="H310" i="26"/>
  <c r="K310" i="26" s="1"/>
  <c r="H250" i="26"/>
  <c r="K250" i="26" s="1"/>
  <c r="H386" i="26"/>
  <c r="K386" i="26" s="1"/>
  <c r="H248" i="26"/>
  <c r="K248" i="26" s="1"/>
  <c r="H276" i="26"/>
  <c r="K276" i="26" s="1"/>
  <c r="H374" i="26"/>
  <c r="K374" i="26" s="1"/>
  <c r="H402" i="26"/>
  <c r="K402" i="26" s="1"/>
  <c r="H298" i="26"/>
  <c r="K298" i="26" s="1"/>
  <c r="H306" i="26"/>
  <c r="K306" i="26" s="1"/>
  <c r="H326" i="26"/>
  <c r="K326" i="26" s="1"/>
  <c r="H334" i="26"/>
  <c r="K334" i="26" s="1"/>
  <c r="H342" i="26"/>
  <c r="K342" i="26" s="1"/>
  <c r="H350" i="26"/>
  <c r="K350" i="26" s="1"/>
  <c r="H378" i="26"/>
  <c r="K378" i="26" s="1"/>
  <c r="H422" i="26"/>
  <c r="K422" i="26" s="1"/>
  <c r="H356" i="26"/>
  <c r="K356" i="26" s="1"/>
  <c r="H364" i="26"/>
  <c r="K364" i="26" s="1"/>
  <c r="H366" i="26"/>
  <c r="K366" i="26" s="1"/>
  <c r="H370" i="26"/>
  <c r="K370" i="26" s="1"/>
  <c r="H418" i="26"/>
  <c r="K418" i="26" s="1"/>
  <c r="H290" i="26"/>
  <c r="K290" i="26" s="1"/>
  <c r="H300" i="26"/>
  <c r="K300" i="26" s="1"/>
  <c r="H308" i="26"/>
  <c r="K308" i="26" s="1"/>
  <c r="H320" i="26"/>
  <c r="K320" i="26" s="1"/>
  <c r="H336" i="26"/>
  <c r="K336" i="26" s="1"/>
  <c r="H344" i="26"/>
  <c r="K344" i="26" s="1"/>
  <c r="H352" i="26"/>
  <c r="K352" i="26" s="1"/>
  <c r="H362" i="26"/>
  <c r="K362" i="26" s="1"/>
  <c r="H412" i="26"/>
  <c r="K412" i="26" s="1"/>
  <c r="H414" i="26"/>
  <c r="K414" i="26" s="1"/>
  <c r="V3" i="26"/>
  <c r="H268" i="26"/>
  <c r="K268" i="26" s="1"/>
  <c r="H272" i="26"/>
  <c r="K272" i="26" s="1"/>
  <c r="H406" i="26"/>
  <c r="K406" i="26" s="1"/>
  <c r="H442" i="26"/>
  <c r="K442" i="26" s="1"/>
  <c r="H278" i="26"/>
  <c r="K278" i="26" s="1"/>
  <c r="H330" i="26"/>
  <c r="K330" i="26" s="1"/>
  <c r="H332" i="26"/>
  <c r="K332" i="26" s="1"/>
  <c r="H340" i="26"/>
  <c r="K340" i="26" s="1"/>
  <c r="H360" i="26"/>
  <c r="K360" i="26" s="1"/>
  <c r="H390" i="26"/>
  <c r="K390" i="26" s="1"/>
  <c r="H396" i="26"/>
  <c r="K396" i="26" s="1"/>
  <c r="H398" i="26"/>
  <c r="K398" i="26" s="1"/>
  <c r="H410" i="26"/>
  <c r="K410" i="26" s="1"/>
  <c r="H225" i="26"/>
  <c r="K225" i="26" s="1"/>
  <c r="H233" i="26"/>
  <c r="K233" i="26" s="1"/>
  <c r="H239" i="26"/>
  <c r="K239" i="26" s="1"/>
  <c r="H284" i="26"/>
  <c r="K284" i="26" s="1"/>
  <c r="H304" i="26"/>
  <c r="K304" i="26" s="1"/>
  <c r="H328" i="26"/>
  <c r="K328" i="26" s="1"/>
  <c r="H338" i="26"/>
  <c r="K338" i="26" s="1"/>
  <c r="H346" i="26"/>
  <c r="K346" i="26" s="1"/>
  <c r="H348" i="26"/>
  <c r="K348" i="26" s="1"/>
  <c r="H358" i="26"/>
  <c r="K358" i="26" s="1"/>
  <c r="H380" i="26"/>
  <c r="K380" i="26" s="1"/>
  <c r="H382" i="26"/>
  <c r="K382" i="26" s="1"/>
  <c r="H394" i="26"/>
  <c r="K394" i="26" s="1"/>
  <c r="R3" i="26"/>
  <c r="H274" i="26"/>
  <c r="K274" i="26" s="1"/>
  <c r="H180" i="26"/>
  <c r="K180" i="26" s="1"/>
  <c r="H292" i="26"/>
  <c r="K292" i="26" s="1"/>
  <c r="H322" i="26"/>
  <c r="K322" i="26" s="1"/>
  <c r="H178" i="26"/>
  <c r="K178" i="26" s="1"/>
  <c r="H181" i="26"/>
  <c r="K181" i="26" s="1"/>
  <c r="H183" i="26"/>
  <c r="K183" i="26" s="1"/>
  <c r="H198" i="26"/>
  <c r="K198" i="26" s="1"/>
  <c r="H266" i="26"/>
  <c r="K266" i="26" s="1"/>
  <c r="H280" i="26"/>
  <c r="K280" i="26" s="1"/>
  <c r="H296" i="26"/>
  <c r="K296" i="26" s="1"/>
  <c r="H318" i="26"/>
  <c r="K318" i="26" s="1"/>
  <c r="H372" i="26"/>
  <c r="K372" i="26" s="1"/>
  <c r="H388" i="26"/>
  <c r="K388" i="26" s="1"/>
  <c r="H404" i="26"/>
  <c r="K404" i="26" s="1"/>
  <c r="H420" i="26"/>
  <c r="K420" i="26" s="1"/>
  <c r="H440" i="26"/>
  <c r="K440" i="26" s="1"/>
  <c r="H500" i="26"/>
  <c r="K500" i="26" s="1"/>
  <c r="U3" i="26"/>
  <c r="H234" i="26"/>
  <c r="K234" i="26" s="1"/>
  <c r="H270" i="26"/>
  <c r="K270" i="26" s="1"/>
  <c r="H376" i="26"/>
  <c r="K376" i="26" s="1"/>
  <c r="H392" i="26"/>
  <c r="K392" i="26" s="1"/>
  <c r="H408" i="26"/>
  <c r="K408" i="26" s="1"/>
  <c r="H444" i="26"/>
  <c r="K444" i="26" s="1"/>
  <c r="H503" i="26"/>
  <c r="K503" i="26" s="1"/>
  <c r="H368" i="26"/>
  <c r="K368" i="26" s="1"/>
  <c r="H384" i="26"/>
  <c r="K384" i="26" s="1"/>
  <c r="H400" i="26"/>
  <c r="K400" i="26" s="1"/>
  <c r="H416" i="26"/>
  <c r="K416" i="26" s="1"/>
  <c r="N3" i="26" l="1"/>
  <c r="P3" i="26"/>
  <c r="M3" i="26" l="1"/>
  <c r="C213" i="6" l="1"/>
  <c r="C216" i="6"/>
  <c r="C162" i="6"/>
  <c r="C161" i="6"/>
  <c r="C158" i="6"/>
  <c r="C61" i="6"/>
  <c r="C60" i="6"/>
  <c r="C57" i="6"/>
  <c r="C130" i="6" l="1"/>
  <c r="C131" i="6" s="1"/>
  <c r="C132" i="6" s="1"/>
  <c r="C133" i="6" s="1"/>
  <c r="C134" i="6" s="1"/>
  <c r="C135" i="6" s="1"/>
  <c r="B420" i="23"/>
  <c r="A420" i="23"/>
  <c r="B419" i="23"/>
  <c r="A419" i="23"/>
  <c r="B418" i="23"/>
  <c r="A418" i="23"/>
  <c r="B414" i="23"/>
  <c r="A414" i="23"/>
  <c r="B413" i="23"/>
  <c r="A413" i="23"/>
  <c r="B412" i="23"/>
  <c r="A412" i="23"/>
  <c r="X411" i="23"/>
  <c r="B411" i="23"/>
  <c r="A411" i="23"/>
  <c r="X410" i="23"/>
  <c r="B410" i="23"/>
  <c r="A410" i="23"/>
  <c r="X409" i="23"/>
  <c r="B409" i="23"/>
  <c r="A409" i="23"/>
  <c r="X408" i="23"/>
  <c r="B408" i="23"/>
  <c r="A408" i="23"/>
  <c r="X407" i="23"/>
  <c r="B407" i="23"/>
  <c r="A407" i="23"/>
  <c r="X406" i="23"/>
  <c r="B406" i="23"/>
  <c r="A406" i="23"/>
  <c r="X405" i="23"/>
  <c r="B405" i="23"/>
  <c r="A405" i="23"/>
  <c r="X404" i="23"/>
  <c r="B404" i="23"/>
  <c r="A404" i="23"/>
  <c r="X403" i="23"/>
  <c r="B403" i="23"/>
  <c r="A403" i="23"/>
  <c r="X402" i="23"/>
  <c r="B402" i="23"/>
  <c r="A402" i="23"/>
  <c r="X401" i="23"/>
  <c r="B401" i="23"/>
  <c r="A401" i="23"/>
  <c r="X400" i="23"/>
  <c r="B400" i="23"/>
  <c r="A400" i="23"/>
  <c r="X399" i="23"/>
  <c r="B399" i="23"/>
  <c r="A399" i="23"/>
  <c r="X398" i="23"/>
  <c r="B398" i="23"/>
  <c r="A398" i="23"/>
  <c r="X397" i="23"/>
  <c r="B397" i="23"/>
  <c r="A397" i="23"/>
  <c r="X396" i="23"/>
  <c r="B396" i="23"/>
  <c r="A396" i="23"/>
  <c r="X395" i="23"/>
  <c r="B395" i="23"/>
  <c r="A395" i="23"/>
  <c r="X394" i="23"/>
  <c r="B394" i="23"/>
  <c r="A394" i="23"/>
  <c r="X393" i="23"/>
  <c r="B393" i="23"/>
  <c r="A393" i="23"/>
  <c r="X392" i="23"/>
  <c r="B392" i="23"/>
  <c r="A392" i="23"/>
  <c r="B388" i="23"/>
  <c r="A388" i="23"/>
  <c r="B387" i="23"/>
  <c r="A387" i="23"/>
  <c r="B386" i="23"/>
  <c r="A386" i="23"/>
  <c r="B385" i="23"/>
  <c r="A385" i="23"/>
  <c r="B384" i="23"/>
  <c r="A384" i="23"/>
  <c r="B383" i="23"/>
  <c r="A383" i="23"/>
  <c r="B382" i="23"/>
  <c r="A382" i="23"/>
  <c r="B381" i="23"/>
  <c r="A381" i="23"/>
  <c r="X380" i="23"/>
  <c r="B380" i="23"/>
  <c r="A380" i="23"/>
  <c r="X379" i="23"/>
  <c r="B379" i="23"/>
  <c r="A379" i="23"/>
  <c r="X378" i="23"/>
  <c r="B378" i="23"/>
  <c r="A378" i="23"/>
  <c r="X377" i="23"/>
  <c r="B377" i="23"/>
  <c r="A377" i="23"/>
  <c r="X376" i="23"/>
  <c r="B376" i="23"/>
  <c r="A376" i="23"/>
  <c r="X375" i="23"/>
  <c r="B375" i="23"/>
  <c r="A375" i="23"/>
  <c r="X374" i="23"/>
  <c r="B374" i="23"/>
  <c r="A374" i="23"/>
  <c r="X373" i="23"/>
  <c r="B373" i="23"/>
  <c r="A373" i="23"/>
  <c r="X372" i="23"/>
  <c r="B372" i="23"/>
  <c r="A372" i="23"/>
  <c r="X371" i="23"/>
  <c r="B371" i="23"/>
  <c r="A371" i="23"/>
  <c r="X370" i="23"/>
  <c r="B370" i="23"/>
  <c r="A370" i="23"/>
  <c r="X369" i="23"/>
  <c r="B369" i="23"/>
  <c r="A369" i="23"/>
  <c r="X368" i="23"/>
  <c r="B368" i="23"/>
  <c r="A368" i="23"/>
  <c r="X367" i="23"/>
  <c r="B367" i="23"/>
  <c r="A367" i="23"/>
  <c r="X366" i="23"/>
  <c r="B366" i="23"/>
  <c r="A366" i="23"/>
  <c r="X365" i="23"/>
  <c r="B365" i="23"/>
  <c r="A365" i="23"/>
  <c r="X364" i="23"/>
  <c r="B364" i="23"/>
  <c r="A364" i="23"/>
  <c r="X363" i="23"/>
  <c r="B363" i="23"/>
  <c r="A363" i="23"/>
  <c r="X362" i="23"/>
  <c r="B362" i="23"/>
  <c r="A362" i="23"/>
  <c r="X361" i="23"/>
  <c r="B361" i="23"/>
  <c r="A361" i="23"/>
  <c r="X360" i="23"/>
  <c r="J326" i="23"/>
  <c r="J325" i="23"/>
  <c r="X297" i="23"/>
  <c r="B297" i="23"/>
  <c r="A297" i="23"/>
  <c r="J289" i="23"/>
  <c r="J288" i="23"/>
  <c r="I284" i="23"/>
  <c r="K284" i="23" s="1"/>
  <c r="I283" i="23"/>
  <c r="K283" i="23" s="1"/>
  <c r="I282" i="23"/>
  <c r="K282" i="23" s="1"/>
  <c r="I281" i="23"/>
  <c r="K281" i="23" s="1"/>
  <c r="I280" i="23"/>
  <c r="K280" i="23" s="1"/>
  <c r="I279" i="23"/>
  <c r="K279" i="23" s="1"/>
  <c r="I278" i="23"/>
  <c r="K278" i="23" s="1"/>
  <c r="I277" i="23"/>
  <c r="K277" i="23" s="1"/>
  <c r="I276" i="23"/>
  <c r="K276" i="23" s="1"/>
  <c r="I275" i="23"/>
  <c r="K275" i="23" s="1"/>
  <c r="I274" i="23"/>
  <c r="K274" i="23" s="1"/>
  <c r="I273" i="23"/>
  <c r="K273" i="23" s="1"/>
  <c r="I272" i="23"/>
  <c r="K272" i="23" s="1"/>
  <c r="I271" i="23"/>
  <c r="K271" i="23" s="1"/>
  <c r="I270" i="23"/>
  <c r="K270" i="23" s="1"/>
  <c r="I269" i="23"/>
  <c r="K269" i="23" s="1"/>
  <c r="I268" i="23"/>
  <c r="K268" i="23" s="1"/>
  <c r="I267" i="23"/>
  <c r="K267" i="23" s="1"/>
  <c r="I266" i="23"/>
  <c r="K266" i="23" s="1"/>
  <c r="I265" i="23"/>
  <c r="K265" i="23" s="1"/>
  <c r="A259" i="23"/>
  <c r="B258" i="23"/>
  <c r="A258" i="23"/>
  <c r="B257" i="23"/>
  <c r="A257" i="23"/>
  <c r="B256" i="23"/>
  <c r="A256" i="23"/>
  <c r="B255" i="23"/>
  <c r="A255" i="23"/>
  <c r="B254" i="23"/>
  <c r="A254" i="23"/>
  <c r="B253" i="23"/>
  <c r="A253" i="23"/>
  <c r="B252" i="23"/>
  <c r="A252" i="23"/>
  <c r="X251" i="23"/>
  <c r="B251" i="23"/>
  <c r="A251" i="23"/>
  <c r="X250" i="23"/>
  <c r="B250" i="23"/>
  <c r="A250" i="23"/>
  <c r="X249" i="23"/>
  <c r="B249" i="23"/>
  <c r="A249" i="23"/>
  <c r="X248" i="23"/>
  <c r="B248" i="23"/>
  <c r="A248" i="23"/>
  <c r="X247" i="23"/>
  <c r="B247" i="23"/>
  <c r="A247" i="23"/>
  <c r="X246" i="23"/>
  <c r="B246" i="23"/>
  <c r="A246" i="23"/>
  <c r="X245" i="23"/>
  <c r="B245" i="23"/>
  <c r="A245" i="23"/>
  <c r="X244" i="23"/>
  <c r="B244" i="23"/>
  <c r="A244" i="23"/>
  <c r="X243" i="23"/>
  <c r="B243" i="23"/>
  <c r="A243" i="23"/>
  <c r="X242" i="23"/>
  <c r="B242" i="23"/>
  <c r="A242" i="23"/>
  <c r="X241" i="23"/>
  <c r="B241" i="23"/>
  <c r="A241" i="23"/>
  <c r="X240" i="23"/>
  <c r="B240" i="23"/>
  <c r="A240" i="23"/>
  <c r="X239" i="23"/>
  <c r="B239" i="23"/>
  <c r="A239" i="23"/>
  <c r="X238" i="23"/>
  <c r="B238" i="23"/>
  <c r="A238" i="23"/>
  <c r="X237" i="23"/>
  <c r="B237" i="23"/>
  <c r="A237" i="23"/>
  <c r="X236" i="23"/>
  <c r="B236" i="23"/>
  <c r="A236" i="23"/>
  <c r="X235" i="23"/>
  <c r="B235" i="23"/>
  <c r="A235" i="23"/>
  <c r="X234" i="23"/>
  <c r="B234" i="23"/>
  <c r="A234" i="23"/>
  <c r="X233" i="23"/>
  <c r="B233" i="23"/>
  <c r="A233" i="23"/>
  <c r="X232" i="23"/>
  <c r="B232" i="23"/>
  <c r="A232" i="23"/>
  <c r="X231" i="23"/>
  <c r="J224" i="23"/>
  <c r="J223" i="23"/>
  <c r="J222" i="23"/>
  <c r="J221" i="23"/>
  <c r="J219" i="23"/>
  <c r="J218" i="23"/>
  <c r="J217" i="23"/>
  <c r="J216" i="23"/>
  <c r="J214" i="23"/>
  <c r="J213" i="23"/>
  <c r="J212" i="23"/>
  <c r="J211" i="23"/>
  <c r="J210" i="23"/>
  <c r="J209" i="23"/>
  <c r="J208" i="23"/>
  <c r="X206" i="23"/>
  <c r="I206" i="23"/>
  <c r="J206" i="23" s="1"/>
  <c r="B206" i="23"/>
  <c r="A206" i="23"/>
  <c r="X205" i="23"/>
  <c r="I205" i="23"/>
  <c r="J205" i="23" s="1"/>
  <c r="B205" i="23"/>
  <c r="A205" i="23"/>
  <c r="X203" i="23"/>
  <c r="I203" i="23"/>
  <c r="G203" i="23"/>
  <c r="B203" i="23"/>
  <c r="A203" i="23"/>
  <c r="X202" i="23"/>
  <c r="G202" i="23"/>
  <c r="J202" i="23" s="1"/>
  <c r="B202" i="23"/>
  <c r="A202" i="23"/>
  <c r="X201" i="23"/>
  <c r="G201" i="23"/>
  <c r="J201" i="23" s="1"/>
  <c r="B201" i="23"/>
  <c r="A201" i="23"/>
  <c r="X200" i="23"/>
  <c r="G200" i="23"/>
  <c r="J200" i="23" s="1"/>
  <c r="B200" i="23"/>
  <c r="A200" i="23"/>
  <c r="X199" i="23"/>
  <c r="G199" i="23"/>
  <c r="J199" i="23" s="1"/>
  <c r="B199" i="23"/>
  <c r="A199" i="23"/>
  <c r="X198" i="23"/>
  <c r="G198" i="23"/>
  <c r="J198" i="23" s="1"/>
  <c r="B198" i="23"/>
  <c r="A198" i="23"/>
  <c r="X197" i="23"/>
  <c r="G197" i="23"/>
  <c r="J197" i="23" s="1"/>
  <c r="B197" i="23"/>
  <c r="A197" i="23"/>
  <c r="X196" i="23"/>
  <c r="G196" i="23"/>
  <c r="J196" i="23" s="1"/>
  <c r="B196" i="23"/>
  <c r="A196" i="23"/>
  <c r="X195" i="23"/>
  <c r="G195" i="23"/>
  <c r="J195" i="23" s="1"/>
  <c r="B195" i="23"/>
  <c r="A195" i="23"/>
  <c r="X194" i="23"/>
  <c r="G194" i="23"/>
  <c r="J194" i="23" s="1"/>
  <c r="B194" i="23"/>
  <c r="A194" i="23"/>
  <c r="G193" i="23"/>
  <c r="J193" i="23" s="1"/>
  <c r="B193" i="23"/>
  <c r="A193" i="23"/>
  <c r="G192" i="23"/>
  <c r="J192" i="23" s="1"/>
  <c r="B192" i="23"/>
  <c r="A192" i="23"/>
  <c r="X187" i="23"/>
  <c r="G187" i="23"/>
  <c r="J187" i="23" s="1"/>
  <c r="X186" i="23"/>
  <c r="G186" i="23"/>
  <c r="J186" i="23" s="1"/>
  <c r="X185" i="23"/>
  <c r="G185" i="23"/>
  <c r="J185" i="23" s="1"/>
  <c r="X184" i="23"/>
  <c r="G184" i="23"/>
  <c r="J184" i="23" s="1"/>
  <c r="X183" i="23"/>
  <c r="G183" i="23"/>
  <c r="J183" i="23" s="1"/>
  <c r="X182" i="23"/>
  <c r="G182" i="23"/>
  <c r="J182" i="23" s="1"/>
  <c r="X181" i="23"/>
  <c r="G181" i="23"/>
  <c r="J181" i="23" s="1"/>
  <c r="X180" i="23"/>
  <c r="G180" i="23"/>
  <c r="J180" i="23" s="1"/>
  <c r="X179" i="23"/>
  <c r="G179" i="23"/>
  <c r="J179" i="23" s="1"/>
  <c r="X178" i="23"/>
  <c r="G178" i="23"/>
  <c r="J178" i="23" s="1"/>
  <c r="X177" i="23"/>
  <c r="G177" i="23"/>
  <c r="J177" i="23" s="1"/>
  <c r="G176" i="23"/>
  <c r="J176" i="23" s="1"/>
  <c r="G175" i="23"/>
  <c r="J175" i="23" s="1"/>
  <c r="X172" i="23"/>
  <c r="G172" i="23"/>
  <c r="J172" i="23" s="1"/>
  <c r="X171" i="23"/>
  <c r="G171" i="23"/>
  <c r="J171" i="23" s="1"/>
  <c r="X170" i="23"/>
  <c r="G170" i="23"/>
  <c r="J170" i="23" s="1"/>
  <c r="X169" i="23"/>
  <c r="G169" i="23"/>
  <c r="J169" i="23" s="1"/>
  <c r="X168" i="23"/>
  <c r="G168" i="23"/>
  <c r="J168" i="23" s="1"/>
  <c r="X167" i="23"/>
  <c r="G167" i="23"/>
  <c r="J167" i="23" s="1"/>
  <c r="X166" i="23"/>
  <c r="G166" i="23"/>
  <c r="J166" i="23" s="1"/>
  <c r="X165" i="23"/>
  <c r="G165" i="23"/>
  <c r="J165" i="23" s="1"/>
  <c r="X164" i="23"/>
  <c r="G164" i="23"/>
  <c r="J164" i="23" s="1"/>
  <c r="X163" i="23"/>
  <c r="G163" i="23"/>
  <c r="J163" i="23" s="1"/>
  <c r="X162" i="23"/>
  <c r="G162" i="23"/>
  <c r="J162" i="23" s="1"/>
  <c r="G161" i="23"/>
  <c r="J161" i="23" s="1"/>
  <c r="J159" i="23" s="1"/>
  <c r="G160" i="23"/>
  <c r="J160" i="23" s="1"/>
  <c r="X157" i="23"/>
  <c r="I157" i="23"/>
  <c r="G157" i="23"/>
  <c r="X156" i="23"/>
  <c r="I156" i="23"/>
  <c r="J156" i="23" s="1"/>
  <c r="G156" i="23"/>
  <c r="X155" i="23"/>
  <c r="G155" i="23"/>
  <c r="J155" i="23" s="1"/>
  <c r="X154" i="23"/>
  <c r="G154" i="23"/>
  <c r="J154" i="23" s="1"/>
  <c r="X153" i="23"/>
  <c r="G153" i="23"/>
  <c r="J153" i="23" s="1"/>
  <c r="X152" i="23"/>
  <c r="G152" i="23"/>
  <c r="J152" i="23" s="1"/>
  <c r="X151" i="23"/>
  <c r="G151" i="23"/>
  <c r="J151" i="23" s="1"/>
  <c r="X150" i="23"/>
  <c r="G150" i="23"/>
  <c r="J150" i="23" s="1"/>
  <c r="X149" i="23"/>
  <c r="G149" i="23"/>
  <c r="J149" i="23" s="1"/>
  <c r="X148" i="23"/>
  <c r="G148" i="23"/>
  <c r="J148" i="23" s="1"/>
  <c r="X147" i="23"/>
  <c r="G147" i="23"/>
  <c r="J147" i="23" s="1"/>
  <c r="G146" i="23"/>
  <c r="J146" i="23" s="1"/>
  <c r="G145" i="23"/>
  <c r="J145" i="23" s="1"/>
  <c r="X141" i="23"/>
  <c r="G141" i="23"/>
  <c r="J141" i="23" s="1"/>
  <c r="B141" i="23"/>
  <c r="A141" i="23"/>
  <c r="X140" i="23"/>
  <c r="J140" i="23"/>
  <c r="B140" i="23"/>
  <c r="A140" i="23"/>
  <c r="X139" i="23"/>
  <c r="B139" i="23"/>
  <c r="A139" i="23"/>
  <c r="X138" i="23"/>
  <c r="J138" i="23"/>
  <c r="B138" i="23"/>
  <c r="A138" i="23"/>
  <c r="X137" i="23"/>
  <c r="J137" i="23"/>
  <c r="B137" i="23"/>
  <c r="A137" i="23"/>
  <c r="X136" i="23"/>
  <c r="J136" i="23"/>
  <c r="B136" i="23"/>
  <c r="A136" i="23"/>
  <c r="X135" i="23"/>
  <c r="J135" i="23"/>
  <c r="B135" i="23"/>
  <c r="A135" i="23"/>
  <c r="X134" i="23"/>
  <c r="J134" i="23"/>
  <c r="B134" i="23"/>
  <c r="A134" i="23"/>
  <c r="X133" i="23"/>
  <c r="B133" i="23"/>
  <c r="A133" i="23"/>
  <c r="X132" i="23"/>
  <c r="J132" i="23"/>
  <c r="B132" i="23"/>
  <c r="A132" i="23"/>
  <c r="X131" i="23"/>
  <c r="J131" i="23"/>
  <c r="B131" i="23"/>
  <c r="A131" i="23"/>
  <c r="X130" i="23"/>
  <c r="J130" i="23"/>
  <c r="B130" i="23"/>
  <c r="A130" i="23"/>
  <c r="X129" i="23"/>
  <c r="J129" i="23"/>
  <c r="B129" i="23"/>
  <c r="A129" i="23"/>
  <c r="X128" i="23"/>
  <c r="J128" i="23"/>
  <c r="B128" i="23"/>
  <c r="A128" i="23"/>
  <c r="X127" i="23"/>
  <c r="J127" i="23"/>
  <c r="B127" i="23"/>
  <c r="A127" i="23"/>
  <c r="X126" i="23"/>
  <c r="J126" i="23"/>
  <c r="B126" i="23"/>
  <c r="A126" i="23"/>
  <c r="X125" i="23"/>
  <c r="J125" i="23"/>
  <c r="B125" i="23"/>
  <c r="A125" i="23"/>
  <c r="X124" i="23"/>
  <c r="J124" i="23"/>
  <c r="B124" i="23"/>
  <c r="A124" i="23"/>
  <c r="X123" i="23"/>
  <c r="J123" i="23"/>
  <c r="B123" i="23"/>
  <c r="A123" i="23"/>
  <c r="X122" i="23"/>
  <c r="J122" i="23"/>
  <c r="B122" i="23"/>
  <c r="A122" i="23"/>
  <c r="X121" i="23"/>
  <c r="J121" i="23"/>
  <c r="B121" i="23"/>
  <c r="A121" i="23"/>
  <c r="X120" i="23"/>
  <c r="J120" i="23"/>
  <c r="B120" i="23"/>
  <c r="A120" i="23"/>
  <c r="X119" i="23"/>
  <c r="J119" i="23"/>
  <c r="B119" i="23"/>
  <c r="A119" i="23"/>
  <c r="X118" i="23"/>
  <c r="J118" i="23"/>
  <c r="B118" i="23"/>
  <c r="A118" i="23"/>
  <c r="X117" i="23"/>
  <c r="J117" i="23"/>
  <c r="B117" i="23"/>
  <c r="A117" i="23"/>
  <c r="X116" i="23"/>
  <c r="J116" i="23"/>
  <c r="B116" i="23"/>
  <c r="A116" i="23"/>
  <c r="X115" i="23"/>
  <c r="J115" i="23"/>
  <c r="B115" i="23"/>
  <c r="A115" i="23"/>
  <c r="X114" i="23"/>
  <c r="J114" i="23"/>
  <c r="B114" i="23"/>
  <c r="A114" i="23"/>
  <c r="X113" i="23"/>
  <c r="J113" i="23"/>
  <c r="B113" i="23"/>
  <c r="A113" i="23"/>
  <c r="J112" i="23"/>
  <c r="B112" i="23"/>
  <c r="A112" i="23"/>
  <c r="J111" i="23"/>
  <c r="B111" i="23"/>
  <c r="A111" i="23"/>
  <c r="J106" i="23"/>
  <c r="J105" i="23"/>
  <c r="J104" i="23"/>
  <c r="J103" i="23"/>
  <c r="J99" i="23"/>
  <c r="J98" i="23"/>
  <c r="J97" i="23"/>
  <c r="J96" i="23"/>
  <c r="J91" i="23"/>
  <c r="J90" i="23"/>
  <c r="J89" i="23"/>
  <c r="J88" i="23"/>
  <c r="J87" i="23"/>
  <c r="J86" i="23"/>
  <c r="J85" i="23"/>
  <c r="X79" i="23"/>
  <c r="I79" i="23"/>
  <c r="J79" i="23" s="1"/>
  <c r="B79" i="23"/>
  <c r="A79" i="23"/>
  <c r="X78" i="23"/>
  <c r="I78" i="23"/>
  <c r="J78" i="23" s="1"/>
  <c r="B78" i="23"/>
  <c r="A78" i="23"/>
  <c r="X73" i="23"/>
  <c r="I73" i="23"/>
  <c r="G73" i="23"/>
  <c r="B73" i="23"/>
  <c r="A73" i="23"/>
  <c r="X72" i="23"/>
  <c r="I72" i="23"/>
  <c r="G72" i="23"/>
  <c r="B72" i="23"/>
  <c r="A72" i="23"/>
  <c r="X71" i="23"/>
  <c r="I71" i="23"/>
  <c r="G71" i="23"/>
  <c r="B71" i="23"/>
  <c r="A71" i="23"/>
  <c r="X70" i="23"/>
  <c r="G70" i="23"/>
  <c r="J70" i="23" s="1"/>
  <c r="B70" i="23"/>
  <c r="A70" i="23"/>
  <c r="X69" i="23"/>
  <c r="G69" i="23"/>
  <c r="J69" i="23" s="1"/>
  <c r="B69" i="23"/>
  <c r="A69" i="23"/>
  <c r="X68" i="23"/>
  <c r="G68" i="23"/>
  <c r="J68" i="23" s="1"/>
  <c r="B68" i="23"/>
  <c r="A68" i="23"/>
  <c r="X67" i="23"/>
  <c r="G67" i="23"/>
  <c r="J67" i="23" s="1"/>
  <c r="B67" i="23"/>
  <c r="A67" i="23"/>
  <c r="X66" i="23"/>
  <c r="G66" i="23"/>
  <c r="J66" i="23" s="1"/>
  <c r="B66" i="23"/>
  <c r="A66" i="23"/>
  <c r="X65" i="23"/>
  <c r="G65" i="23"/>
  <c r="J65" i="23" s="1"/>
  <c r="B65" i="23"/>
  <c r="A65" i="23"/>
  <c r="X64" i="23"/>
  <c r="G64" i="23"/>
  <c r="J64" i="23" s="1"/>
  <c r="B64" i="23"/>
  <c r="A64" i="23"/>
  <c r="X63" i="23"/>
  <c r="G63" i="23"/>
  <c r="J63" i="23" s="1"/>
  <c r="B63" i="23"/>
  <c r="A63" i="23"/>
  <c r="X62" i="23"/>
  <c r="G62" i="23"/>
  <c r="J62" i="23" s="1"/>
  <c r="B62" i="23"/>
  <c r="A62" i="23"/>
  <c r="X61" i="23"/>
  <c r="G61" i="23"/>
  <c r="J61" i="23" s="1"/>
  <c r="B61" i="23"/>
  <c r="A61" i="23"/>
  <c r="X60" i="23"/>
  <c r="G60" i="23"/>
  <c r="J60" i="23" s="1"/>
  <c r="B60" i="23"/>
  <c r="A60" i="23"/>
  <c r="X59" i="23"/>
  <c r="G59" i="23"/>
  <c r="J59" i="23" s="1"/>
  <c r="B59" i="23"/>
  <c r="A59" i="23"/>
  <c r="X58" i="23"/>
  <c r="G58" i="23"/>
  <c r="J58" i="23" s="1"/>
  <c r="B58" i="23"/>
  <c r="A58" i="23"/>
  <c r="X57" i="23"/>
  <c r="G57" i="23"/>
  <c r="J57" i="23" s="1"/>
  <c r="B57" i="23"/>
  <c r="A57" i="23"/>
  <c r="X56" i="23"/>
  <c r="G56" i="23"/>
  <c r="J56" i="23" s="1"/>
  <c r="B56" i="23"/>
  <c r="A56" i="23"/>
  <c r="X55" i="23"/>
  <c r="G55" i="23"/>
  <c r="J55" i="23" s="1"/>
  <c r="B55" i="23"/>
  <c r="A55" i="23"/>
  <c r="X54" i="23"/>
  <c r="G54" i="23"/>
  <c r="J54" i="23" s="1"/>
  <c r="B54" i="23"/>
  <c r="A54" i="23"/>
  <c r="X53" i="23"/>
  <c r="G53" i="23"/>
  <c r="J53" i="23" s="1"/>
  <c r="B53" i="23"/>
  <c r="A53" i="23"/>
  <c r="G52" i="23"/>
  <c r="J52" i="23" s="1"/>
  <c r="B52" i="23"/>
  <c r="A52" i="23"/>
  <c r="G51" i="23"/>
  <c r="J51" i="23" s="1"/>
  <c r="B51" i="23"/>
  <c r="A51" i="23"/>
  <c r="G50" i="23"/>
  <c r="J50" i="23" s="1"/>
  <c r="B50" i="23"/>
  <c r="A50" i="23"/>
  <c r="G49" i="23"/>
  <c r="J49" i="23" s="1"/>
  <c r="B49" i="23"/>
  <c r="A49" i="23"/>
  <c r="X44" i="23"/>
  <c r="G44" i="23"/>
  <c r="B44" i="23"/>
  <c r="I44" i="23" s="1"/>
  <c r="J44" i="23" s="1"/>
  <c r="A44" i="23"/>
  <c r="X43" i="23"/>
  <c r="B43" i="23"/>
  <c r="I43" i="23" s="1"/>
  <c r="J43" i="23" s="1"/>
  <c r="A43" i="23"/>
  <c r="X42" i="23"/>
  <c r="B42" i="23"/>
  <c r="A42" i="23"/>
  <c r="X41" i="23"/>
  <c r="B41" i="23"/>
  <c r="I41" i="23" s="1"/>
  <c r="J41" i="23" s="1"/>
  <c r="A41" i="23"/>
  <c r="X40" i="23"/>
  <c r="B40" i="23"/>
  <c r="I40" i="23" s="1"/>
  <c r="J40" i="23" s="1"/>
  <c r="A40" i="23"/>
  <c r="X39" i="23"/>
  <c r="H39" i="23"/>
  <c r="B39" i="23"/>
  <c r="I39" i="23" s="1"/>
  <c r="A39" i="23"/>
  <c r="X38" i="23"/>
  <c r="H38" i="23"/>
  <c r="B38" i="23"/>
  <c r="I38" i="23" s="1"/>
  <c r="A38" i="23"/>
  <c r="X37" i="23"/>
  <c r="H37" i="23"/>
  <c r="B37" i="23"/>
  <c r="I37" i="23" s="1"/>
  <c r="A37" i="23"/>
  <c r="X36" i="23"/>
  <c r="B36" i="23"/>
  <c r="A36" i="23"/>
  <c r="X35" i="23"/>
  <c r="B35" i="23"/>
  <c r="I35" i="23" s="1"/>
  <c r="J35" i="23" s="1"/>
  <c r="A35" i="23"/>
  <c r="X34" i="23"/>
  <c r="G34" i="23"/>
  <c r="B34" i="23"/>
  <c r="I34" i="23" s="1"/>
  <c r="J34" i="23" s="1"/>
  <c r="A34" i="23"/>
  <c r="X33" i="23"/>
  <c r="B33" i="23"/>
  <c r="I33" i="23" s="1"/>
  <c r="J33" i="23" s="1"/>
  <c r="A33" i="23"/>
  <c r="X32" i="23"/>
  <c r="G32" i="23"/>
  <c r="B32" i="23"/>
  <c r="I32" i="23" s="1"/>
  <c r="J32" i="23" s="1"/>
  <c r="A32" i="23"/>
  <c r="X31" i="23"/>
  <c r="B31" i="23"/>
  <c r="I31" i="23" s="1"/>
  <c r="J31" i="23" s="1"/>
  <c r="A31" i="23"/>
  <c r="X30" i="23"/>
  <c r="B30" i="23"/>
  <c r="I30" i="23" s="1"/>
  <c r="J30" i="23" s="1"/>
  <c r="A30" i="23"/>
  <c r="X29" i="23"/>
  <c r="B29" i="23"/>
  <c r="I29" i="23" s="1"/>
  <c r="J29" i="23" s="1"/>
  <c r="A29" i="23"/>
  <c r="X28" i="23"/>
  <c r="G28" i="23"/>
  <c r="B28" i="23"/>
  <c r="I28" i="23" s="1"/>
  <c r="J28" i="23" s="1"/>
  <c r="A28" i="23"/>
  <c r="X27" i="23"/>
  <c r="B27" i="23"/>
  <c r="I27" i="23" s="1"/>
  <c r="J27" i="23" s="1"/>
  <c r="A27" i="23"/>
  <c r="X26" i="23"/>
  <c r="G26" i="23"/>
  <c r="B26" i="23"/>
  <c r="I26" i="23" s="1"/>
  <c r="J26" i="23" s="1"/>
  <c r="A26" i="23"/>
  <c r="X25" i="23"/>
  <c r="I25" i="23"/>
  <c r="J25" i="23" s="1"/>
  <c r="B25" i="23"/>
  <c r="A25" i="23"/>
  <c r="X24" i="23"/>
  <c r="B24" i="23"/>
  <c r="I24" i="23" s="1"/>
  <c r="J24" i="23" s="1"/>
  <c r="A24" i="23"/>
  <c r="X23" i="23"/>
  <c r="I23" i="23"/>
  <c r="J23" i="23" s="1"/>
  <c r="B23" i="23"/>
  <c r="A23" i="23"/>
  <c r="X22" i="23"/>
  <c r="I22" i="23"/>
  <c r="J22" i="23" s="1"/>
  <c r="B22" i="23"/>
  <c r="A22" i="23"/>
  <c r="X21" i="23"/>
  <c r="B21" i="23"/>
  <c r="I21" i="23" s="1"/>
  <c r="J21" i="23" s="1"/>
  <c r="A21" i="23"/>
  <c r="X20" i="23"/>
  <c r="B20" i="23"/>
  <c r="I20" i="23" s="1"/>
  <c r="J20" i="23" s="1"/>
  <c r="A20" i="23"/>
  <c r="X19" i="23"/>
  <c r="B19" i="23"/>
  <c r="I19" i="23" s="1"/>
  <c r="J19" i="23" s="1"/>
  <c r="A19" i="23"/>
  <c r="X18" i="23"/>
  <c r="B18" i="23"/>
  <c r="I18" i="23" s="1"/>
  <c r="J18" i="23" s="1"/>
  <c r="A18" i="23"/>
  <c r="X17" i="23"/>
  <c r="B17" i="23"/>
  <c r="I17" i="23" s="1"/>
  <c r="J17" i="23" s="1"/>
  <c r="A17" i="23"/>
  <c r="X16" i="23"/>
  <c r="I16" i="23"/>
  <c r="J16" i="23" s="1"/>
  <c r="B16" i="23"/>
  <c r="A16" i="23"/>
  <c r="X15" i="23"/>
  <c r="I15" i="23"/>
  <c r="J15" i="23" s="1"/>
  <c r="B15" i="23"/>
  <c r="A15" i="23"/>
  <c r="X14" i="23"/>
  <c r="I14" i="23"/>
  <c r="J14" i="23" s="1"/>
  <c r="B14" i="23"/>
  <c r="A14" i="23"/>
  <c r="X13" i="23"/>
  <c r="I13" i="23"/>
  <c r="J13" i="23" s="1"/>
  <c r="B13" i="23"/>
  <c r="A13" i="23"/>
  <c r="X12" i="23"/>
  <c r="I12" i="23"/>
  <c r="J12" i="23" s="1"/>
  <c r="B12" i="23"/>
  <c r="A12" i="23"/>
  <c r="X11" i="23"/>
  <c r="I11" i="23"/>
  <c r="J11" i="23" s="1"/>
  <c r="B11" i="23"/>
  <c r="A11" i="23"/>
  <c r="X10" i="23"/>
  <c r="I10" i="23"/>
  <c r="J10" i="23" s="1"/>
  <c r="B10" i="23"/>
  <c r="A10" i="23"/>
  <c r="X9" i="23"/>
  <c r="I9" i="23"/>
  <c r="J9" i="23" s="1"/>
  <c r="B9" i="23"/>
  <c r="A9" i="23"/>
  <c r="X8" i="23"/>
  <c r="I8" i="23"/>
  <c r="J8" i="23" s="1"/>
  <c r="B8" i="23"/>
  <c r="A8" i="23"/>
  <c r="I7" i="23"/>
  <c r="J7" i="23" s="1"/>
  <c r="B7" i="23"/>
  <c r="A7" i="23"/>
  <c r="I6" i="23"/>
  <c r="J6" i="23" s="1"/>
  <c r="B6" i="23"/>
  <c r="A6" i="23"/>
  <c r="X5" i="23"/>
  <c r="R5" i="23"/>
  <c r="H60" i="6"/>
  <c r="H58" i="6"/>
  <c r="B83" i="12"/>
  <c r="C83" i="12" s="1"/>
  <c r="B82" i="12"/>
  <c r="C82" i="12" s="1"/>
  <c r="B81" i="12"/>
  <c r="C81" i="12" s="1"/>
  <c r="B80" i="12"/>
  <c r="C80" i="12" s="1"/>
  <c r="B79" i="12"/>
  <c r="C79" i="12" s="1"/>
  <c r="B78" i="12"/>
  <c r="C78" i="12" s="1"/>
  <c r="B77" i="12"/>
  <c r="C77" i="12" s="1"/>
  <c r="B76" i="12"/>
  <c r="C76" i="12" s="1"/>
  <c r="B75" i="12"/>
  <c r="C75" i="12" s="1"/>
  <c r="B74" i="12"/>
  <c r="C74" i="12" s="1"/>
  <c r="B73" i="12"/>
  <c r="C73" i="12" s="1"/>
  <c r="B72" i="12"/>
  <c r="C72" i="12" s="1"/>
  <c r="B71" i="12"/>
  <c r="C71" i="12" s="1"/>
  <c r="B70" i="12"/>
  <c r="C70" i="12" s="1"/>
  <c r="B69" i="12"/>
  <c r="N27" i="12"/>
  <c r="K27" i="12"/>
  <c r="N26" i="12"/>
  <c r="O5" i="12"/>
  <c r="O4" i="12"/>
  <c r="O3" i="12"/>
  <c r="B3" i="12"/>
  <c r="R18" i="14"/>
  <c r="Q17" i="14"/>
  <c r="R17" i="14" s="1"/>
  <c r="R16" i="14"/>
  <c r="Q15" i="14"/>
  <c r="R14" i="14"/>
  <c r="Q13" i="14"/>
  <c r="R12" i="14"/>
  <c r="Q11" i="14"/>
  <c r="R10" i="14"/>
  <c r="Q9" i="14"/>
  <c r="R8" i="14"/>
  <c r="Q7" i="14"/>
  <c r="R6" i="14"/>
  <c r="Q5" i="14"/>
  <c r="R4" i="14"/>
  <c r="Q3" i="14"/>
  <c r="J95" i="23" l="1"/>
  <c r="J110" i="23"/>
  <c r="J71" i="23"/>
  <c r="J84" i="23"/>
  <c r="J203" i="23"/>
  <c r="J157" i="23"/>
  <c r="D71" i="12"/>
  <c r="D75" i="12"/>
  <c r="D79" i="12"/>
  <c r="D78" i="12"/>
  <c r="D82" i="12"/>
  <c r="J102" i="23"/>
  <c r="J38" i="23"/>
  <c r="J72" i="23"/>
  <c r="J174" i="23"/>
  <c r="J37" i="23"/>
  <c r="J39" i="23"/>
  <c r="J77" i="23"/>
  <c r="J73" i="23"/>
  <c r="J48" i="23" s="1"/>
  <c r="J190" i="23"/>
  <c r="R2" i="23" s="1"/>
  <c r="D73" i="12"/>
  <c r="D77" i="12"/>
  <c r="D81" i="12"/>
  <c r="D72" i="12"/>
  <c r="D76" i="12"/>
  <c r="D80" i="12"/>
  <c r="D70" i="12"/>
  <c r="D74" i="12"/>
  <c r="J144" i="23"/>
  <c r="S2" i="23" s="1"/>
  <c r="N6" i="12"/>
  <c r="N16" i="12"/>
  <c r="N17" i="12"/>
  <c r="N13" i="12"/>
  <c r="N19" i="12"/>
  <c r="N12" i="12"/>
  <c r="N10" i="12"/>
  <c r="N11" i="12"/>
  <c r="N15" i="12"/>
  <c r="N18" i="12"/>
  <c r="N20" i="12"/>
  <c r="N7" i="12"/>
  <c r="N21" i="12"/>
  <c r="N8" i="12"/>
  <c r="N14" i="12"/>
  <c r="N9" i="12"/>
  <c r="N23" i="12"/>
  <c r="N25" i="12"/>
  <c r="N24" i="12"/>
  <c r="N22" i="12"/>
  <c r="T2" i="23" l="1"/>
  <c r="U2" i="23"/>
  <c r="P11" i="14" l="1"/>
  <c r="G11" i="14" l="1"/>
  <c r="K11" i="14"/>
  <c r="I11" i="14"/>
  <c r="O11" i="14"/>
  <c r="M11" i="14"/>
  <c r="R11" i="14"/>
  <c r="P15" i="14" l="1"/>
  <c r="R15" i="14" l="1"/>
  <c r="O15" i="14"/>
  <c r="P9" i="14" l="1"/>
  <c r="I9" i="14" l="1"/>
  <c r="M9" i="14"/>
  <c r="K9" i="14"/>
  <c r="O9" i="14"/>
  <c r="G9" i="14"/>
  <c r="R9" i="14"/>
  <c r="P13" i="14" l="1"/>
  <c r="M13" i="14" s="1"/>
  <c r="O13" i="14" l="1"/>
  <c r="R13" i="14"/>
  <c r="P7" i="14"/>
  <c r="M7" i="14" l="1"/>
  <c r="R7" i="14"/>
  <c r="G7" i="14"/>
  <c r="O7" i="14"/>
  <c r="K7" i="14"/>
  <c r="I7" i="14"/>
  <c r="P3" i="14" l="1"/>
  <c r="R3" i="14" l="1"/>
  <c r="G3" i="14"/>
  <c r="M3" i="14"/>
  <c r="M27" i="14" s="1"/>
  <c r="K3" i="14"/>
  <c r="O3" i="14"/>
  <c r="O27" i="14" s="1"/>
  <c r="I3" i="14"/>
  <c r="M29" i="14" l="1"/>
  <c r="O29" i="14"/>
  <c r="P5" i="14" l="1"/>
  <c r="C69" i="12"/>
  <c r="P30" i="14"/>
  <c r="L9" i="12"/>
  <c r="L6" i="12"/>
  <c r="M6" i="12" s="1"/>
  <c r="L18" i="12"/>
  <c r="L24" i="12"/>
  <c r="L23" i="12"/>
  <c r="L14" i="12"/>
  <c r="L15" i="12"/>
  <c r="L17" i="12"/>
  <c r="L20" i="12"/>
  <c r="L21" i="12"/>
  <c r="L13" i="12"/>
  <c r="L19" i="12"/>
  <c r="L11" i="12"/>
  <c r="L22" i="12"/>
  <c r="L10" i="12"/>
  <c r="L8" i="12"/>
  <c r="L12" i="12"/>
  <c r="K29" i="12"/>
  <c r="M30" i="12" s="1"/>
  <c r="L16" i="12"/>
  <c r="L25" i="12"/>
  <c r="L7" i="12"/>
  <c r="M7" i="12" l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L27" i="12" s="1"/>
  <c r="C84" i="12"/>
  <c r="D69" i="12"/>
  <c r="D84" i="12" s="1"/>
  <c r="R5" i="14"/>
  <c r="I5" i="14"/>
  <c r="I27" i="14" s="1"/>
  <c r="P29" i="14"/>
  <c r="K5" i="14"/>
  <c r="K27" i="14" s="1"/>
  <c r="G5" i="14"/>
  <c r="G27" i="14" s="1"/>
  <c r="K29" i="14" l="1"/>
  <c r="J27" i="14"/>
  <c r="L27" i="14"/>
  <c r="N27" i="14"/>
  <c r="I29" i="14"/>
  <c r="H27" i="14"/>
  <c r="F27" i="14"/>
  <c r="G29" i="14"/>
  <c r="G28" i="14"/>
  <c r="F28" i="14" l="1"/>
  <c r="G30" i="14"/>
  <c r="I28" i="14"/>
  <c r="I30" i="14" l="1"/>
  <c r="H28" i="14"/>
  <c r="K28" i="14"/>
  <c r="K30" i="14" l="1"/>
  <c r="M28" i="14"/>
  <c r="J28" i="14"/>
  <c r="L28" i="14" l="1"/>
  <c r="M30" i="14"/>
  <c r="O28" i="14"/>
  <c r="O30" i="14" l="1"/>
  <c r="N28" i="14"/>
</calcChain>
</file>

<file path=xl/sharedStrings.xml><?xml version="1.0" encoding="utf-8"?>
<sst xmlns="http://schemas.openxmlformats.org/spreadsheetml/2006/main" count="5196" uniqueCount="1109">
  <si>
    <t>Item</t>
  </si>
  <si>
    <t>Discriminação</t>
  </si>
  <si>
    <t>Quantidade</t>
  </si>
  <si>
    <t xml:space="preserve"> OBRA:</t>
  </si>
  <si>
    <t xml:space="preserve"> LOCAL:</t>
  </si>
  <si>
    <t>Valor total</t>
  </si>
  <si>
    <t>2.</t>
  </si>
  <si>
    <t>1.2</t>
  </si>
  <si>
    <t>1.</t>
  </si>
  <si>
    <t>1.1</t>
  </si>
  <si>
    <t>3.</t>
  </si>
  <si>
    <t>3.1</t>
  </si>
  <si>
    <t>3.2</t>
  </si>
  <si>
    <t>4.</t>
  </si>
  <si>
    <t>4.1</t>
  </si>
  <si>
    <t>4.2</t>
  </si>
  <si>
    <t>5.</t>
  </si>
  <si>
    <t>7.</t>
  </si>
  <si>
    <t>TOTAL GERAL</t>
  </si>
  <si>
    <t>Und.</t>
  </si>
  <si>
    <t>Codigo</t>
  </si>
  <si>
    <t>Sistema</t>
  </si>
  <si>
    <t>INSTALAÇÕES HIDRÁULICAS E SANTÁRIAS</t>
  </si>
  <si>
    <t>5.1.1</t>
  </si>
  <si>
    <t>5.1.7</t>
  </si>
  <si>
    <t>5.2.2</t>
  </si>
  <si>
    <t>5.3.2</t>
  </si>
  <si>
    <t>5.3.4</t>
  </si>
  <si>
    <t>5.3.11</t>
  </si>
  <si>
    <t>1.2.2</t>
  </si>
  <si>
    <t>1.2.3</t>
  </si>
  <si>
    <t>1.2.5</t>
  </si>
  <si>
    <t>1.3.1</t>
  </si>
  <si>
    <t>1.5.1</t>
  </si>
  <si>
    <t>1.6.1</t>
  </si>
  <si>
    <t>SERVIÇOS PRELIMINARES</t>
  </si>
  <si>
    <t>FUNDAÇÕES E ESTRUTURAS</t>
  </si>
  <si>
    <t>ARQUITETURA E ELEMENTOS DE URBANISMO</t>
  </si>
  <si>
    <t>5.4.1</t>
  </si>
  <si>
    <t>INSTALAÇÕES ELÉTRICAS E ELETRÔNICAS</t>
  </si>
  <si>
    <t>SERVIÇOS COMPLEMENTARES</t>
  </si>
  <si>
    <t>DETALHAMENTO</t>
  </si>
  <si>
    <t>EMASSAMENTO COM MASSA ACRILICA, DUAS DEMAOS</t>
  </si>
  <si>
    <t>74134/002</t>
  </si>
  <si>
    <t>M</t>
  </si>
  <si>
    <t>M2</t>
  </si>
  <si>
    <t>NA</t>
  </si>
  <si>
    <t>M3</t>
  </si>
  <si>
    <t>R</t>
  </si>
  <si>
    <t>E</t>
  </si>
  <si>
    <t>ESCADA MARINHEIRO</t>
  </si>
  <si>
    <t>TRANSPORTE COMERCIAL COM CAMINHAO BASCULANTE 6 M3, RODOVIA PAVIMENTADA</t>
  </si>
  <si>
    <t>73935/001</t>
  </si>
  <si>
    <t>73954/001</t>
  </si>
  <si>
    <t>PINTURA LATEX ACRILICA, TRES DEMAOS</t>
  </si>
  <si>
    <t>PISO</t>
  </si>
  <si>
    <t>73907/003</t>
  </si>
  <si>
    <t>CHAPISCO</t>
  </si>
  <si>
    <t>EMBOCO</t>
  </si>
  <si>
    <t>REBOCO</t>
  </si>
  <si>
    <t>73787/001</t>
  </si>
  <si>
    <t>CÓDIGO</t>
  </si>
  <si>
    <t>6.</t>
  </si>
  <si>
    <t>6.1.7</t>
  </si>
  <si>
    <t>GESTÃO A VISTA</t>
  </si>
  <si>
    <t>ABA DE LOCALIZAÇ.</t>
  </si>
  <si>
    <t>LOCAL</t>
  </si>
  <si>
    <t>VALOR (R$)</t>
  </si>
  <si>
    <t>4.5.10</t>
  </si>
  <si>
    <t>4.7.1</t>
  </si>
  <si>
    <t>4.9.5</t>
  </si>
  <si>
    <r>
      <rPr>
        <sz val="10"/>
        <color rgb="FFFF0000"/>
        <rFont val="Tahoma"/>
        <family val="2"/>
      </rPr>
      <t>CONSOLIDAÇÃO DOS DADOS</t>
    </r>
    <r>
      <rPr>
        <b/>
        <sz val="10"/>
        <color rgb="FFFF0000"/>
        <rFont val="Tahoma"/>
        <family val="2"/>
      </rPr>
      <t xml:space="preserve"> - PREENCH. AUTOM.</t>
    </r>
  </si>
  <si>
    <t>PERC. (SUB.TOTAL / TOTAL)</t>
  </si>
  <si>
    <r>
      <rPr>
        <b/>
        <sz val="10"/>
        <color rgb="FFFF0000"/>
        <rFont val="Tahoma"/>
        <family val="2"/>
      </rPr>
      <t>Autor</t>
    </r>
    <r>
      <rPr>
        <sz val="10"/>
        <color theme="1"/>
        <rFont val="Tahoma"/>
        <family val="2"/>
      </rPr>
      <t>: Luiz Motta</t>
    </r>
  </si>
  <si>
    <t>Valor untário s/ BDI</t>
  </si>
  <si>
    <t>Valor untário c/ BDI</t>
  </si>
  <si>
    <t>Valor do BDI</t>
  </si>
  <si>
    <t>%</t>
  </si>
  <si>
    <t>BDI SERVIÇO =</t>
  </si>
  <si>
    <t>BDI MATERIAL=</t>
  </si>
  <si>
    <t>UND</t>
  </si>
  <si>
    <t>M²</t>
  </si>
  <si>
    <t>SINAPI</t>
  </si>
  <si>
    <t>COMP. 02</t>
  </si>
  <si>
    <t>ORSE</t>
  </si>
  <si>
    <t>COMP. 13</t>
  </si>
  <si>
    <t>COMP. 14</t>
  </si>
  <si>
    <t>COMP. 15</t>
  </si>
  <si>
    <t>COMP. 16</t>
  </si>
  <si>
    <t>ALVENARIA EM TIJOLO CERAMICO FURADO 10X20X20CM, 1/2 VEZ, ASSENTADO EM ARGAMASSA TRACO 1:4 (CIMENTO E AREIA),E=1CM</t>
  </si>
  <si>
    <t>m2</t>
  </si>
  <si>
    <t>PT</t>
  </si>
  <si>
    <t/>
  </si>
  <si>
    <t>JANELA BASCULANTE EM ALUMINIO E VIDRO (FONECIMENTO E INTALAÇÃO)</t>
  </si>
  <si>
    <t>COMP. 56</t>
  </si>
  <si>
    <t>COMP. 59</t>
  </si>
  <si>
    <t>Descrição dos serviços</t>
  </si>
  <si>
    <t>Un</t>
  </si>
  <si>
    <t>Qtd.</t>
  </si>
  <si>
    <t>Comp.</t>
  </si>
  <si>
    <t>Larg.</t>
  </si>
  <si>
    <t>Alt.</t>
  </si>
  <si>
    <t>Área (m²)</t>
  </si>
  <si>
    <t>Volume (m³)</t>
  </si>
  <si>
    <t>Peso (t)</t>
  </si>
  <si>
    <t>TOTAL</t>
  </si>
  <si>
    <t>DML</t>
  </si>
  <si>
    <t>SALA DOS PROFESSORES</t>
  </si>
  <si>
    <t>COORDENAÇÃO</t>
  </si>
  <si>
    <t>SALA DE AULA 01</t>
  </si>
  <si>
    <t>SALA DE AULA 02</t>
  </si>
  <si>
    <t>SALA DE AULA 03</t>
  </si>
  <si>
    <t>SALA DE AULA 04</t>
  </si>
  <si>
    <t>SALA DE AULA 05</t>
  </si>
  <si>
    <t>SALA DE AULA 06</t>
  </si>
  <si>
    <t>SALA DE AULA 07</t>
  </si>
  <si>
    <t>SALA DE AULA 08</t>
  </si>
  <si>
    <t>CIRCULAÇÃO</t>
  </si>
  <si>
    <t>COZINHA</t>
  </si>
  <si>
    <t>BIBLIOTECA</t>
  </si>
  <si>
    <t>SALA DE ARTES</t>
  </si>
  <si>
    <t>SALA DE INFORMÁTICA</t>
  </si>
  <si>
    <t>DEPÓSITO</t>
  </si>
  <si>
    <t>CONCRETO ARMADO DOSADO 15 MPA INCL MAT P/ 1 M3 PREPARO CONF COMP 5845 COLOC CONF COMP 7090 14 M2 DE AREA MOLDADA FORMAS E ESCORAMENTO CONF COMPS 5306 E 5708 60 KG DE ACO CA-50 INC MAO DE OBRA P/CORTE DOBRAGEM MONTAGEM E COLO</t>
  </si>
  <si>
    <t>ESTRUTURA ESPACIAL FORMATO PIRAMIDAL, CONFECCIONADA EM TUBO DE ALUMINIO REDONDO D=4" (P/GINÁSIO PADRÃO - PROG.SERGIPE-CIDADE)</t>
  </si>
  <si>
    <t>TELHA METÁLICA AUTOPORTANTE DE CHAPA DE AÇO GALVANIZADO NATURAL - IMAP-700 - H = 185MM - ESP. CHAPA = 0,95X1000MM</t>
  </si>
  <si>
    <t>ESTRUTURA METÁLICA EM AÇO SAC 300, VÃOS DE ATÉ 12M</t>
  </si>
  <si>
    <t>TELHAMENTO COM TELHAS TRAPEZOIDAL DE ALUMÍNIO TERMOACÚSTICA SIMPLES, COR BRANCA, E=0,5MM E POLIURETANO E=30MM COM FILME</t>
  </si>
  <si>
    <t>COMP. 78</t>
  </si>
  <si>
    <t>MÊS (30 DIAS)</t>
  </si>
  <si>
    <t>1º MÊS</t>
  </si>
  <si>
    <t xml:space="preserve"> 2º MÊS</t>
  </si>
  <si>
    <t xml:space="preserve"> 3º MÊS</t>
  </si>
  <si>
    <t xml:space="preserve"> 4º MÊS</t>
  </si>
  <si>
    <t>SERVIÇO</t>
  </si>
  <si>
    <t>PS</t>
  </si>
  <si>
    <t>VALOR
(R$)</t>
  </si>
  <si>
    <t>INSTALAÇÕES DE INCÊNDIO</t>
  </si>
  <si>
    <t>ADMINISTRAÇÃO LOCAL</t>
  </si>
  <si>
    <t>CRONOGRAMA  FÍSICO-FINANCEIRO</t>
  </si>
  <si>
    <t xml:space="preserve">                                                                                                                                                     </t>
  </si>
  <si>
    <t>PERCENTUAL GLOBAL SIMPLES (PGS)</t>
  </si>
  <si>
    <t xml:space="preserve">                                                       </t>
  </si>
  <si>
    <t>PERCENTUAL GLOBAL ACUMULADO (PGA)</t>
  </si>
  <si>
    <t>VALOR SIMPLES : R$ (1.000)</t>
  </si>
  <si>
    <t>VALOR ACUMULADO : R$ (1.000)</t>
  </si>
  <si>
    <t>Notas :</t>
  </si>
  <si>
    <t>1 - PS = Percentual mensal de serviço, considerando o valor global do PS apresentado na proposta passa a ter peso nas medições para análise do cronograma.</t>
  </si>
  <si>
    <t xml:space="preserve">             </t>
  </si>
  <si>
    <t>2 - PGS = será a soma dos PS, a soma dos PGS durante o prazo do contrato será igual a 100.</t>
  </si>
  <si>
    <t>3 - PGA = a soma dos PGS.</t>
  </si>
  <si>
    <t>4 - A firma deverá fornecer as folhas que forem necessárias.</t>
  </si>
  <si>
    <t xml:space="preserve">     </t>
  </si>
  <si>
    <t>5 - Os serviços deverão ser listados e agrupados de acordo com a planilha de orçamento.</t>
  </si>
  <si>
    <t>MÊS</t>
  </si>
  <si>
    <t>CERÂMICA ESMALTADA, DIMENSÕES DE 16X57 CM, ELIANE OU SIMILAR.</t>
  </si>
  <si>
    <t>REVESTIMENTO CERÂMICO PARA PISO OU CALÇADA, 45 X 45 CM, ANTIDERRAPANTE, REF. 43801, PORTO FERREIRA OU SIMILAR, APLICADO COM ARGAMASSA INDUSTRIALIZADA AC-II, REJUNTADO, EXCLUSIVE REGULARIZAÇÃO DE BASE OU EMBOÇO</t>
  </si>
  <si>
    <t>Acumulado %</t>
  </si>
  <si>
    <t xml:space="preserve">
PONTO DE TOMADA 2P+T, ABNT, DE EMBUTIR, 10 A, COM ELETRODUTO DE FERRO GALVANIZADO APARENTE Ø 3/4", FIO RIGIDO 2,5MM² (FIO 12), INCLUSIVE PLACA EM PVC E ATERRAMENTO, TOMADA DUPLA
</t>
  </si>
  <si>
    <t>TCU</t>
  </si>
  <si>
    <t>PISO EM GRANILITE, MARMORITE OU GRANITINA ESPESSURA 8 MM, INCLUSO JUNT AS DE DILATACAO PLASTICAS</t>
  </si>
  <si>
    <t>CONTRAPISO/LASTRO DE CONCRETO NAO-ESTRUTURAL, E=5CM, PREPARO COM BETON EIRA</t>
  </si>
  <si>
    <t>PINTURA ESMALTE BRILHANTE (2 DEMAOS) SOBRE SUPERFICIE METALICA, INCLUS IVE PROTECAO COM ZARCAO (1 DEMAO)</t>
  </si>
  <si>
    <t>REVESTIMENTO COM PASTILHA DE CERAMICA ESMALTADA QUADRADA 1, ASSENTAD A COM ARGAMASSA PRE-FABRICADA DE CIMENTO COLANTE E REJUNTAMENTO COM CI MENTO BRANCO, INCLUSO LIMPEZA</t>
  </si>
  <si>
    <t>ALAMBRADO EM TUBOS DE ACO GALVANIZADO, COM COSTURA, DIN 2440, DIAMETRO 2", ALTURA 3M, FIXADOS A CADA 2M EM BLOCOS DE CONCRETO, COM TELA DE A RAME GALVANIZADO REVESTIDO COM PVC, FIO 12 BWG E MALHA 7,5X7,5CM</t>
  </si>
  <si>
    <t>DIVISORIA EM GRANITO BRANCO POLIDO, ESP = 3CM, ASSENTADO COM ARGAMASSA TRACO 1:4, ARREMATE EM CIMENTO BRANCO, EXCLUSIVE FERRAGENS</t>
  </si>
  <si>
    <t>COMP. 107</t>
  </si>
  <si>
    <t>FORRO DE PVC, COR PALHA, MOD. FRISADO 100/08 MM, WOODCELL, DA ARAFORROS OU SIMILAR - FORNECIMENTO E APLICAÇÃO</t>
  </si>
  <si>
    <t xml:space="preserve"> OBRA: ESCOLA MUNICIPAL NOSSO LAR</t>
  </si>
  <si>
    <t xml:space="preserve"> LOCAL: VERGEL DO LAGO/MACEIÓ</t>
  </si>
  <si>
    <t>ITEN DE MAIOR RELEVÂNCIA</t>
  </si>
  <si>
    <t xml:space="preserve"> 5º MÊS</t>
  </si>
  <si>
    <t>LIXO SECO</t>
  </si>
  <si>
    <t>SECRETARIA</t>
  </si>
  <si>
    <t>SALA DE AULA 11</t>
  </si>
  <si>
    <t>SALA DE AULA 10</t>
  </si>
  <si>
    <t>SALA DE AULA 09</t>
  </si>
  <si>
    <t>SALA DE RECURSOS</t>
  </si>
  <si>
    <t>COPA SUJA</t>
  </si>
  <si>
    <t>ALMOXARIFADO</t>
  </si>
  <si>
    <t>RECEBIMENTO</t>
  </si>
  <si>
    <t>TETO</t>
  </si>
  <si>
    <t>REFEITÓRIO</t>
  </si>
  <si>
    <t>SALA DE MÚSICA</t>
  </si>
  <si>
    <t>FACHADA</t>
  </si>
  <si>
    <t>TÍTULO</t>
  </si>
  <si>
    <t>ANTIGO</t>
  </si>
  <si>
    <t>PINTURA</t>
  </si>
  <si>
    <t>PROPOSTO</t>
  </si>
  <si>
    <t>REB + EMBO</t>
  </si>
  <si>
    <t>APICOA</t>
  </si>
  <si>
    <t>DIFER.</t>
  </si>
  <si>
    <t>DESPENSA</t>
  </si>
  <si>
    <t>RECEPÇÃO</t>
  </si>
  <si>
    <t>ÁREA DE SERVIÇO</t>
  </si>
  <si>
    <t>OK</t>
  </si>
  <si>
    <t>LARG</t>
  </si>
  <si>
    <t>TIPO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</si>
  <si>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Tahoma"/>
        <family val="2"/>
      </rPr>
      <t>ESPECIFICAÇÕES DE AMBIENTES (PROPOSTA DE INTERVENÇÃO)</t>
    </r>
  </si>
  <si>
    <t>Passado por Raquel Alves, dia 12/03/2014</t>
  </si>
  <si>
    <t>AMBIENTE</t>
  </si>
  <si>
    <t>Cód.</t>
  </si>
  <si>
    <t>PAREDE</t>
  </si>
  <si>
    <t>altura (M)</t>
  </si>
  <si>
    <t>Granilite</t>
  </si>
  <si>
    <t>Composição 1 COM H= 1,80m</t>
  </si>
  <si>
    <t xml:space="preserve">Sem forro, exceto áreas indicadas em projeto </t>
  </si>
  <si>
    <t>SALA DE AULA</t>
  </si>
  <si>
    <t>Composição 2 ou 3COM H= 1,60m</t>
  </si>
  <si>
    <t xml:space="preserve">Forro PVC. </t>
  </si>
  <si>
    <t xml:space="preserve">Granilite </t>
  </si>
  <si>
    <t>Parede acústica composta por placa de gessoCOM H= teto</t>
  </si>
  <si>
    <t>teto</t>
  </si>
  <si>
    <t>Forro com material acústico</t>
  </si>
  <si>
    <t xml:space="preserve">Madeira </t>
  </si>
  <si>
    <t>Laje com pint. acrílica branca.</t>
  </si>
  <si>
    <t>SALA DE ARTES E MÚSICA</t>
  </si>
  <si>
    <t>Madeira</t>
  </si>
  <si>
    <t>Revestimento cerâm. Branco 10 x 10COM H= teto</t>
  </si>
  <si>
    <t>Forro PVC.</t>
  </si>
  <si>
    <t>LAB. DE INFORMÁTICA</t>
  </si>
  <si>
    <t xml:space="preserve">Laje com pint. acrílica branca </t>
  </si>
  <si>
    <t>LAB.DE CIÊNCIAS</t>
  </si>
  <si>
    <t>Comp. 7=13</t>
  </si>
  <si>
    <t>Ambiente independente: Composição 7COM H= Comp.7 :1,60m</t>
  </si>
  <si>
    <t>Laje com pint. acrílica branca</t>
  </si>
  <si>
    <t>Comp. 1=1</t>
  </si>
  <si>
    <t>Ambiente integrado com circulação: Composição 1COM H= Comp.1 :1,80m</t>
  </si>
  <si>
    <t>Composição 7COM H= 1,60m</t>
  </si>
  <si>
    <t>DIREÇÃO</t>
  </si>
  <si>
    <t>Ver especificação no projeto</t>
  </si>
  <si>
    <t>Placa cerâmica extrudada 30x30</t>
  </si>
  <si>
    <t>Porcelanato branco 45 x 45COM H= teto</t>
  </si>
  <si>
    <t>CASA DE GÁS</t>
  </si>
  <si>
    <t>Pintura BrancaCOM H= teto</t>
  </si>
  <si>
    <t>PINTURA ATÉ O teto</t>
  </si>
  <si>
    <t>LIXO ORGÂNICO</t>
  </si>
  <si>
    <t>Piso cerâm. Bege 45x45</t>
  </si>
  <si>
    <t>WC MASCULINO alunos</t>
  </si>
  <si>
    <t xml:space="preserve">Porcelanato branco antiderrapante 45x45 </t>
  </si>
  <si>
    <t>Composição 5COM H= teto</t>
  </si>
  <si>
    <t>Laje com pint. acrílica branca OU forro PVC</t>
  </si>
  <si>
    <t>WC FEMININO alunas</t>
  </si>
  <si>
    <t>Porcelanato branco antiderrapante 45x45</t>
  </si>
  <si>
    <t>Composição 4COM H= teto</t>
  </si>
  <si>
    <t>WC P.N.E. MASC. alunos</t>
  </si>
  <si>
    <t>WC P.N.E. FEMININO alunas</t>
  </si>
  <si>
    <t>WC P.N.E. UNISEX alunos</t>
  </si>
  <si>
    <t>TODOS OS DEMAIS BANHEIROS</t>
  </si>
  <si>
    <t>GRANILITE</t>
  </si>
  <si>
    <t>CERÂMICA</t>
  </si>
  <si>
    <t>CIMENTADO</t>
  </si>
  <si>
    <t>PLACAS DE CONCRETO</t>
  </si>
  <si>
    <t>DIVISÓRIA EM GRANITO OURO BRANCO, ESP. 3CM, ALTURA 1,90M, COM ABERTURA INFERIOR</t>
  </si>
  <si>
    <t>PISO VINÍLICO / EMBORRACHADO</t>
  </si>
  <si>
    <t>SEM PISO / TERRA / VEGETAÇÃO NATURAL</t>
  </si>
  <si>
    <t>RT07</t>
  </si>
  <si>
    <t>ok</t>
  </si>
  <si>
    <t>INTERTÍTULO</t>
  </si>
  <si>
    <t>P1</t>
  </si>
  <si>
    <t>ALTURA</t>
  </si>
  <si>
    <t>RT08</t>
  </si>
  <si>
    <t>RT09</t>
  </si>
  <si>
    <t>ESC. MAN</t>
  </si>
  <si>
    <t>CONCRETO</t>
  </si>
  <si>
    <t>REATERRO</t>
  </si>
  <si>
    <t>composição  6COM H= 1,80m</t>
  </si>
  <si>
    <t>Composição  6COM H= 1,80m</t>
  </si>
  <si>
    <t>Composição 6COM H= 1,80m</t>
  </si>
  <si>
    <t>Especificações de esquadrias</t>
  </si>
  <si>
    <t>Linhas bases de altura (MODULAÇÕES)</t>
  </si>
  <si>
    <t>Janelas</t>
  </si>
  <si>
    <t>Linhas de alvenaria</t>
  </si>
  <si>
    <t>PEITORIL</t>
  </si>
  <si>
    <r>
      <rPr>
        <b/>
        <sz val="11"/>
        <color rgb="FFFF0000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PAREDE</t>
    </r>
  </si>
  <si>
    <t>DECLIVIDADE</t>
  </si>
  <si>
    <t>MENOR</t>
  </si>
  <si>
    <t>MEDIANA</t>
  </si>
  <si>
    <t>MAIOR</t>
  </si>
  <si>
    <t>BANHEIROS</t>
  </si>
  <si>
    <t>MENOR NÍVEL 02</t>
  </si>
  <si>
    <t>MEDIANA NÍVEL 02</t>
  </si>
  <si>
    <t>MEDIANA NÍVEL 03</t>
  </si>
  <si>
    <t>Portas</t>
  </si>
  <si>
    <t>REVESTIMENTO: LINHA 02</t>
  </si>
  <si>
    <t>REVESTIMENTO: LINHA 03</t>
  </si>
  <si>
    <t>REVESTIMENTO: LINHA 04</t>
  </si>
  <si>
    <t>REVESTIMENTO: LINHA 05</t>
  </si>
  <si>
    <t>REVESTIMENTO: LINHA 06</t>
  </si>
  <si>
    <t>REVESTIMENTO: LINHA 07</t>
  </si>
  <si>
    <t>REVESTIMENTO: LINHA 08</t>
  </si>
  <si>
    <t>REVESTIMENTO: LINHA 09</t>
  </si>
  <si>
    <t>REVESTIMENTO: LINHA 10</t>
  </si>
  <si>
    <t>REVESTIMENTO: LINHA 11</t>
  </si>
  <si>
    <t>REVESTIMENTO: LINHA 12</t>
  </si>
  <si>
    <t>REVESTIMENTO: LINHA 13</t>
  </si>
  <si>
    <t>REVESTIMENTO: LINHA 14</t>
  </si>
  <si>
    <t>REVESTIMENTO: LINHA 15</t>
  </si>
  <si>
    <t>REVESTIMENTO: LINHA 16</t>
  </si>
  <si>
    <t>REVESTIMENTO: LINHA 17</t>
  </si>
  <si>
    <t>REVESTIMENTO: LINHA 18</t>
  </si>
  <si>
    <t>REVESTIMENTO: LINHA 19</t>
  </si>
  <si>
    <t>REVESTIMENTO: LINHA 20</t>
  </si>
  <si>
    <t>Cadastro de vãos e novas portas</t>
  </si>
  <si>
    <t>TG 4</t>
  </si>
  <si>
    <t>TG 5</t>
  </si>
  <si>
    <t>COMPLEMENTO ESQUADRIAS ANTIGAS</t>
  </si>
  <si>
    <t>VIDRO ARAMADO SECRETARIA</t>
  </si>
  <si>
    <t>VÃO ESPERA</t>
  </si>
  <si>
    <t>VÃO CIRCULAÇÃO</t>
  </si>
  <si>
    <t>PG08</t>
  </si>
  <si>
    <t>DIF.</t>
  </si>
  <si>
    <t>laje</t>
  </si>
  <si>
    <t>sem forro</t>
  </si>
  <si>
    <t>forro em gesso</t>
  </si>
  <si>
    <t>forro em pvc</t>
  </si>
  <si>
    <t>EXISTENTE</t>
  </si>
  <si>
    <t>XXXX</t>
  </si>
  <si>
    <t>CADASTRO - PAREDE</t>
  </si>
  <si>
    <t>CERÂMICA APARTIR DO PISO ATÉ 1,60M</t>
  </si>
  <si>
    <t>LEGENDAS PAREDES - PROPOSTO</t>
  </si>
  <si>
    <t>Pastilha Cerâmica na composição 02 até 1,60m</t>
  </si>
  <si>
    <t>Pastilha Cerâmica na composição 01 até 1,80m</t>
  </si>
  <si>
    <t>Cerâmica na composição 04 na extensão da bancada</t>
  </si>
  <si>
    <t>Cerâmica na composição 05 na extensão da bancada</t>
  </si>
  <si>
    <t>Pastilha Cerâmica na composição 06.</t>
  </si>
  <si>
    <t>Pintura acrílica na cor branco neve</t>
  </si>
  <si>
    <t>Porcelanato branco acetinado, dimensões de 45x45cm.</t>
  </si>
  <si>
    <t>Pintura acrílica na cor azul</t>
  </si>
  <si>
    <t>Pintura acrílica na cor verde</t>
  </si>
  <si>
    <t>Textura acrílica tipo riscada</t>
  </si>
  <si>
    <t>Pastilha Cerâmica na composição 07 até 1,60m</t>
  </si>
  <si>
    <t>Muro de 1m de altura com Pintura acrílica e grade de ferro</t>
  </si>
  <si>
    <t>Moldura circundando a janela em concreto com pintura acrílica</t>
  </si>
  <si>
    <t>Pastilha cerâmica na cor branca, dimensões 10x10cm</t>
  </si>
  <si>
    <t>Pintura acrílica amarela</t>
  </si>
  <si>
    <t>H = CERÂMICA</t>
  </si>
  <si>
    <t>H = PINTURA</t>
  </si>
  <si>
    <t>MOLDURA</t>
  </si>
  <si>
    <t>H = TOTAL</t>
  </si>
  <si>
    <t>PINTURA ACRÍLICA</t>
  </si>
  <si>
    <t>CERÂMICA 10x10</t>
  </si>
  <si>
    <t>PORCELANATO 45X45</t>
  </si>
  <si>
    <t>APICOAMENTO</t>
  </si>
  <si>
    <t>LEGENDAS PISO - PROPOSTO</t>
  </si>
  <si>
    <t>Piso em granilite, espessura mínima de 8mm,</t>
  </si>
  <si>
    <t>Piso cimentado traço 1:4</t>
  </si>
  <si>
    <t>Porcelanato branco, antiderrapante, dimensões 45x45cm</t>
  </si>
  <si>
    <t>LEGENDAS TETO - PROPOSTO</t>
  </si>
  <si>
    <t>Pintura acrílica</t>
  </si>
  <si>
    <t>Execução de laje com pintura acrílica</t>
  </si>
  <si>
    <t>Sem forro / Sem laje</t>
  </si>
  <si>
    <t>Forro pvc branco</t>
  </si>
  <si>
    <t>WCB MASCULINO</t>
  </si>
  <si>
    <t>SALA MULTIUSO 01</t>
  </si>
  <si>
    <t>SALA MULTIUSO 02</t>
  </si>
  <si>
    <t>SALA MULTIUSO 03</t>
  </si>
  <si>
    <t>SALA MULTIUSO 04</t>
  </si>
  <si>
    <t>WCB ENTRE SALA MULTIUSO 01 E 03</t>
  </si>
  <si>
    <t>WCB DA SALA MULTIUSO 03</t>
  </si>
  <si>
    <t>CIRCULAÇÃO DAS SALAS MULTIUSO</t>
  </si>
  <si>
    <t>WCB FEMININNO</t>
  </si>
  <si>
    <t>CIRCULAÇÃO WCS PNE</t>
  </si>
  <si>
    <t>WCB PNE FEM.</t>
  </si>
  <si>
    <t>WCB PNE MASC.</t>
  </si>
  <si>
    <t>CIRCULAÇÃO COBERTA (CORREDOR DAS SALAS)</t>
  </si>
  <si>
    <t>CIRCULAÇÃO COBERTA DA ENTRADA</t>
  </si>
  <si>
    <t>CIRCULAÇÃO DESCOBERTA DA ENTRADA</t>
  </si>
  <si>
    <t>R2</t>
  </si>
  <si>
    <t>WCB FEMININNO - PAREDE DIFERENCIADA</t>
  </si>
  <si>
    <t>WCB MASCULINO - PAREDE DIFERENCIADA</t>
  </si>
  <si>
    <t>WCB PNE FEM. - PAREDE DIFERENCIADA</t>
  </si>
  <si>
    <t>WCB PNE MASC. - PAREDE DIFERENCIADA</t>
  </si>
  <si>
    <t>Pastilha Cerâmica na composição 03 até 1,60m, e pintura acrílica</t>
  </si>
  <si>
    <t>Concreto aparente com pigmentação inorgânica</t>
  </si>
  <si>
    <t>Muro com pintura acrílica na cor branco neve</t>
  </si>
  <si>
    <t>concreto</t>
  </si>
  <si>
    <t>Piso podotátil do tipo alerta em placas de concreto, dimensões de 25x25cm</t>
  </si>
  <si>
    <t>Piso podotátil do tipo direcional em placas de concreto, dimensões de 25x25cm,</t>
  </si>
  <si>
    <t>Piso cerâmico bege, dimensões 45 x 45cm, antiderrapante</t>
  </si>
  <si>
    <t>CERÂMICA ATÉ O TETO / FORRO</t>
  </si>
  <si>
    <t>TACOS DE MADEIRA</t>
  </si>
  <si>
    <t>PAREDE DE ACESSO AO BLOCO NOVO</t>
  </si>
  <si>
    <t>PAREDE DO MURO DA RUA (LADO INTERNO)</t>
  </si>
  <si>
    <t>PAREDE DA FACHADA DA SALA 07</t>
  </si>
  <si>
    <t>PAREDE DA FACHADA DA SALA 01</t>
  </si>
  <si>
    <t>PAREDE DA FACHADA ENTRE SALA 01 E 07</t>
  </si>
  <si>
    <t>PAREDE DA ESCOLA (DA SALA 07 ATÉ A SALA MULTIUSO 03)</t>
  </si>
  <si>
    <t>RECUPERAÇÃO DE CERÂMICA 40x40 (20%)</t>
  </si>
  <si>
    <t>RECUPERAÇÃO DE CERÂMICA 20x20 (20%)</t>
  </si>
  <si>
    <t>CERÂMICA 16X57</t>
  </si>
  <si>
    <t>ALVENARIA NOVA - SALA DE AULA 01</t>
  </si>
  <si>
    <t>ALVENARIA EXISTENTE - SALA DE AULA 01</t>
  </si>
  <si>
    <t>ALVENARIA NOVA - SALA DE AULA 02</t>
  </si>
  <si>
    <t>ALVENARIA EXISTENTE - SALA DE AULA 02</t>
  </si>
  <si>
    <t>ALVENARIA NOVA - SALA DE AULA 03</t>
  </si>
  <si>
    <t>ALVENARIA EXISTENTE - SALA DE AULA 03</t>
  </si>
  <si>
    <t>ALVENARIA EXISTENTE - SALA DE AULA 04</t>
  </si>
  <si>
    <t>ALVENARIA NOVA - SALA DE AULA 04</t>
  </si>
  <si>
    <t>ALVENARIA EXISTENTE - SALA DE AULA 05</t>
  </si>
  <si>
    <t>ALVENARIA NOVA - SALA DE AULA 05</t>
  </si>
  <si>
    <t>ALVENARIA EXISTENTE - SALA DE AULA 06</t>
  </si>
  <si>
    <t>ALVENARIA NOVA - SALA DE AULA 06</t>
  </si>
  <si>
    <t>ALVENARIA EXISTENTE - SALA DE AULA 07</t>
  </si>
  <si>
    <t>ALVENARIA NOVA - SALA DE AULA 07</t>
  </si>
  <si>
    <t>ALVENARIA EXISTENTE - SALA DE AULA 08</t>
  </si>
  <si>
    <t>ALVENARIA NOVA - SALA DE AULA 08</t>
  </si>
  <si>
    <t>ALVENARIA EXISTENTE - SALA DE AULA 09</t>
  </si>
  <si>
    <t>ALVENARIA NOVA - SALA DE AULA 09</t>
  </si>
  <si>
    <t>ALVENARIA EXISTENTE - SALA DE AULA 10</t>
  </si>
  <si>
    <t>ALVENARIA NOVA - SALA DE AULA 10</t>
  </si>
  <si>
    <t>ALVENARIA EXISTENTE - SALA DE AULA 11</t>
  </si>
  <si>
    <t>ALVENARIA NOVA - SALA DE AULA 11</t>
  </si>
  <si>
    <t>ALVENARIA NOVA - MURETA DE 2,10M DE ALTURA DOS WCS FEM E MASC</t>
  </si>
  <si>
    <t>ALVENARIA NOVA - CIRCULAÇÃO COBERTA (CORREDOR DAS SALAS)</t>
  </si>
  <si>
    <t>ALVENARIA EXISTENTE - CIRCULAÇÃO COBERTA (CORREDOR DAS SALAS)</t>
  </si>
  <si>
    <t>CADASTRO  PISO</t>
  </si>
  <si>
    <t>DEMOLIÇÃO DE CONCRETO MAGRO</t>
  </si>
  <si>
    <t>DEMOLIÇÃO DE PISO CERÂMICO</t>
  </si>
  <si>
    <t>DEMOLIÇÃO DE PISO DE ALTA RESISTÊNCIA</t>
  </si>
  <si>
    <t>APLICAÇAO DE PISO GRANILITE</t>
  </si>
  <si>
    <t xml:space="preserve">4CM PARA O CONTRAPISO + 8MM DO GRANILITE </t>
  </si>
  <si>
    <t>CERÂMICA 45X45 ANTIDERRAPANTE</t>
  </si>
  <si>
    <t>APLICAÇAO DE PISO PORCELANATO 45X45</t>
  </si>
  <si>
    <t>APLICAÇAO DE PISO CERÂMICO 45X45</t>
  </si>
  <si>
    <t>CADASTRO  TETO</t>
  </si>
  <si>
    <t>RECUPERAÇÃO DE FORRO PVC COM SUBSTITUIÇÃO DE 20%</t>
  </si>
  <si>
    <t>FORRO PVC</t>
  </si>
  <si>
    <t xml:space="preserve">    OBRA : REFORMA E AMPLIAÇÃO DA ESCOLA MUNICIPAL ELIZABETH ANNE LYRA DE FARIAS</t>
  </si>
  <si>
    <t>RN</t>
  </si>
  <si>
    <t>P0</t>
  </si>
  <si>
    <t>WC PNE</t>
  </si>
  <si>
    <t>Lavatório de louça suspenso, DECA, linha Ravena, Ref. L 91, cor branca</t>
  </si>
  <si>
    <t>Torneira de mesa  Acabamento Cromado, Decamatic, Ref. 1173C</t>
  </si>
  <si>
    <t>Bacia com abertura frontal, DECA</t>
  </si>
  <si>
    <t>Ref.31006</t>
  </si>
  <si>
    <t>Para válvula hydra,</t>
  </si>
  <si>
    <t>cor branco</t>
  </si>
  <si>
    <t>Assento  com abertura frontal Conforto DECA,</t>
  </si>
  <si>
    <t>Ref. 2360.</t>
  </si>
  <si>
    <t>Coleta de Sangue</t>
  </si>
  <si>
    <t>Cuba inox de embutir Aço 304</t>
  </si>
  <si>
    <t>Torneira clinica, alavanca de Parede , Solucenter Cod. 07001</t>
  </si>
  <si>
    <t>Acabamento Cromado</t>
  </si>
  <si>
    <t>Expurgo/</t>
  </si>
  <si>
    <t>Utilidades</t>
  </si>
  <si>
    <t>Cuba retangular especial  40 x 40 x 40(profunda) e expurgo com tampa em Aço 304</t>
  </si>
  <si>
    <t>Ambiente / Áreas molhadas</t>
  </si>
  <si>
    <t>Bancada</t>
  </si>
  <si>
    <t>Cuba</t>
  </si>
  <si>
    <t>Torneira</t>
  </si>
  <si>
    <t>Louça</t>
  </si>
  <si>
    <t>Acessórios</t>
  </si>
  <si>
    <t xml:space="preserve">  </t>
  </si>
  <si>
    <t xml:space="preserve">    ______</t>
  </si>
  <si>
    <t xml:space="preserve">Válvula de Descarga DECA, Ref. 2551; Barra de Apoio 90 cm DECA Ref. 2310;  Barra de Apoio para Lavatório DECA </t>
  </si>
  <si>
    <t>Ref. 2310;  Ducha Manual DECA linha Belle Époque Light Ref 1984 C51;</t>
  </si>
  <si>
    <t>Espelho em cristal</t>
  </si>
  <si>
    <t>4 mm com bordas lapidadas,  .30 x .60</t>
  </si>
  <si>
    <t>Serviço</t>
  </si>
  <si>
    <t>Granito cinza andorinha</t>
  </si>
  <si>
    <t>Rodamão- 20cm</t>
  </si>
  <si>
    <t>Testeira- 6 cm</t>
  </si>
  <si>
    <t>-------</t>
  </si>
  <si>
    <t>Bancada de inox com cuba e expurgo com válvula hydra;</t>
  </si>
  <si>
    <t>Torneira Profissional de Parede, bica móvel, alavanca longa</t>
  </si>
  <si>
    <t>Solucenter Cod. 07001</t>
  </si>
  <si>
    <t xml:space="preserve">(acionamento com o cotovelo); válvula hydra para o Expurgo em  metal cromado; </t>
  </si>
  <si>
    <t>Ducha de pressão</t>
  </si>
  <si>
    <t>____</t>
  </si>
  <si>
    <t xml:space="preserve">D M L </t>
  </si>
  <si>
    <t>Rodamão- 10cm</t>
  </si>
  <si>
    <t>Testeira 6 cm</t>
  </si>
  <si>
    <t>Tanque de embutir inox Aço 304</t>
  </si>
  <si>
    <t>Torneira de parede, Acabamento Metal Cromado</t>
  </si>
  <si>
    <t>______</t>
  </si>
  <si>
    <t>WC Fem.</t>
  </si>
  <si>
    <r>
      <t xml:space="preserve">  WC Masc. </t>
    </r>
    <r>
      <rPr>
        <sz val="12"/>
        <color theme="1"/>
        <rFont val="Arial"/>
        <family val="2"/>
      </rPr>
      <t>٭</t>
    </r>
  </si>
  <si>
    <t>Testeira- 30 cm</t>
  </si>
  <si>
    <t xml:space="preserve">Cuba de embutir oval, DECA, </t>
  </si>
  <si>
    <t>Ref.  L 37,</t>
  </si>
  <si>
    <t xml:space="preserve"> na cor branco</t>
  </si>
  <si>
    <t>Torneira de Parede, Decamatic, Ref. 1173C, Acabamento Cromado</t>
  </si>
  <si>
    <t xml:space="preserve">Bacia Sanitária, DECA LInha Ravena </t>
  </si>
  <si>
    <t>Ref. P9,</t>
  </si>
  <si>
    <t xml:space="preserve">Com caixa acoplada, </t>
  </si>
  <si>
    <t>cor Branco</t>
  </si>
  <si>
    <r>
      <t>٭</t>
    </r>
    <r>
      <rPr>
        <sz val="9"/>
        <color theme="1"/>
        <rFont val="Arial"/>
        <family val="2"/>
      </rPr>
      <t>Mictório com sifão integrado DECA Ref.</t>
    </r>
  </si>
  <si>
    <t xml:space="preserve"> M 712</t>
  </si>
  <si>
    <t>Ducha Manual DECA linha Belle Époque Light Ref 1984 C51;</t>
  </si>
  <si>
    <t>4 mm com bordas lapidadas,</t>
  </si>
  <si>
    <t xml:space="preserve"> .50 x .60 cm</t>
  </si>
  <si>
    <t>Consultórios</t>
  </si>
  <si>
    <t xml:space="preserve">   </t>
  </si>
  <si>
    <t>Lavatório de louça suspenso, cor branca</t>
  </si>
  <si>
    <t>Torneira de mesa</t>
  </si>
  <si>
    <t>LINK , cod 1197</t>
  </si>
  <si>
    <t>15 cm x 45°, Cromado</t>
  </si>
  <si>
    <t>________</t>
  </si>
  <si>
    <t>Espera</t>
  </si>
  <si>
    <t>Bebedouro Adulto e criança MFA 40 Multimix Air</t>
  </si>
  <si>
    <t>Copa</t>
  </si>
  <si>
    <t>Torneira de mesa LINK</t>
  </si>
  <si>
    <t xml:space="preserve">Cod 1198, bica alta </t>
  </si>
  <si>
    <t>45° , Cromado</t>
  </si>
  <si>
    <t>Jardim</t>
  </si>
  <si>
    <t>Torneira de jardim</t>
  </si>
  <si>
    <t>em aço inox</t>
  </si>
  <si>
    <t xml:space="preserve">Lavatório de louça suspenso, DECA, linha Ravena, </t>
  </si>
  <si>
    <t xml:space="preserve">Ref. L 91, </t>
  </si>
  <si>
    <t>Torneira para lavatório</t>
  </si>
  <si>
    <t>Decamatic, Ref. 1173C</t>
  </si>
  <si>
    <t>Acabamento Cromado;</t>
  </si>
  <si>
    <t>Ref. 2310, Ducha Higiênica;</t>
  </si>
  <si>
    <t>WC Masc.</t>
  </si>
  <si>
    <t>Publico</t>
  </si>
  <si>
    <t>Cuba de embutir oval, DECA,</t>
  </si>
  <si>
    <t xml:space="preserve"> Ref.  L 37,</t>
  </si>
  <si>
    <t xml:space="preserve">Decamatic, </t>
  </si>
  <si>
    <t>Ref. 1173C, Acabamento Cromado</t>
  </si>
  <si>
    <t>Ref. P9, com caixa acoplada,</t>
  </si>
  <si>
    <t xml:space="preserve"> cor Branco</t>
  </si>
  <si>
    <t>BWC dos Repousos</t>
  </si>
  <si>
    <t xml:space="preserve">Ref.  L 37, </t>
  </si>
  <si>
    <t>na cor branco</t>
  </si>
  <si>
    <t xml:space="preserve">Chuveiro DECA Linha Clean Ref 1970 C Diâmetro de 1/2" </t>
  </si>
  <si>
    <t>4 mm com bordas lapidadas,  .50 x .60</t>
  </si>
  <si>
    <t xml:space="preserve">BWC das Enfermarias  </t>
  </si>
  <si>
    <t>BWC Isolamento</t>
  </si>
  <si>
    <t xml:space="preserve">Ref. P9, </t>
  </si>
  <si>
    <t>com caixa acoplada,</t>
  </si>
  <si>
    <t>Chuveiro DECA Max c/ desviador e ducha Ref 1975 C</t>
  </si>
  <si>
    <t>Válvula de Descarga DECA, Ref. 2551; Barra de Apoio 90 cm DECA Ref. 2310;  Barra de Apoio para Lavatório DECA Ref. 2310;  Ducha Manual DECA linha Belle Époque Light Ref 1984 C51;</t>
  </si>
  <si>
    <t>Suporte para Soro da Udinese</t>
  </si>
  <si>
    <t>___</t>
  </si>
  <si>
    <t>Enfermarias</t>
  </si>
  <si>
    <t>Isolamento</t>
  </si>
  <si>
    <t>Antecâmera</t>
  </si>
  <si>
    <t>LINK 15 cm x 45° , cod 1197, Cromado</t>
  </si>
  <si>
    <t>___________</t>
  </si>
  <si>
    <t>Estar da Família</t>
  </si>
  <si>
    <t>Copa de Distribuição</t>
  </si>
  <si>
    <t xml:space="preserve">Torneira de mesa </t>
  </si>
  <si>
    <t>LINK, cod 1198, bica alta, 45° , Cromado</t>
  </si>
  <si>
    <t>_________</t>
  </si>
  <si>
    <t>Lavatório de louça suspenso, DECA, linha Ravena, Ref. L 91, cor branco</t>
  </si>
  <si>
    <t>Ref. 2360..</t>
  </si>
  <si>
    <t>Válvula de Descarga DECA, Ref. 2551; Barra de Apoio 90 cm DECA Ref. 2310;  Barra de Apoio para Lavatório DECA Ref. 2310, Ducha Higiênica;</t>
  </si>
  <si>
    <t xml:space="preserve"> </t>
  </si>
  <si>
    <t xml:space="preserve">WC Masc. </t>
  </si>
  <si>
    <t>Com caixa acoplada,</t>
  </si>
  <si>
    <t>Área descontami-</t>
  </si>
  <si>
    <t>nação</t>
  </si>
  <si>
    <t>Lavatorio de louça</t>
  </si>
  <si>
    <t>suspenso</t>
  </si>
  <si>
    <t>Higienização carrinhos 01</t>
  </si>
  <si>
    <t>Higienização carrinhos 02</t>
  </si>
  <si>
    <t>Ralo linear- grelha inox - Tigre</t>
  </si>
  <si>
    <t>Ducha de pressão;</t>
  </si>
  <si>
    <t>Lava-olhos</t>
  </si>
  <si>
    <t>Lava-olhos de Emergência T. Pedest cod. 3871 Avlis Haws L-002 Sermap</t>
  </si>
  <si>
    <t>Parasitologia</t>
  </si>
  <si>
    <t>Hematologia</t>
  </si>
  <si>
    <t>Bioquímica</t>
  </si>
  <si>
    <t>Microbiologia</t>
  </si>
  <si>
    <t>Lavagem vidraria</t>
  </si>
  <si>
    <t>Bancada de inox com cuba</t>
  </si>
  <si>
    <t xml:space="preserve">retangular especial  </t>
  </si>
  <si>
    <t>40 x 40 x 40(profunda)</t>
  </si>
  <si>
    <t xml:space="preserve">Lavatório de louça suspenso, </t>
  </si>
  <si>
    <t>cor branco;</t>
  </si>
  <si>
    <t>(acionamento com o cotovelo);</t>
  </si>
  <si>
    <t>Preparo de Amostras</t>
  </si>
  <si>
    <t>LINK cod 1198, bica alta, 45° , Cromado</t>
  </si>
  <si>
    <t>WC AC 01</t>
  </si>
  <si>
    <t>WC AC 02</t>
  </si>
  <si>
    <t>Testeira-6cm</t>
  </si>
  <si>
    <t xml:space="preserve">Bacia Sanitária, DECA </t>
  </si>
  <si>
    <t>LInha Ravena Ref. P9,</t>
  </si>
  <si>
    <t>PPP 1, 2, 5, 6</t>
  </si>
  <si>
    <t>Banheira de hidromassagem Jacuzzi, Paola G4, 1.50x.50, com aquecedor, acabamento com mármore branco.</t>
  </si>
  <si>
    <t xml:space="preserve">PPP 4, 5 </t>
  </si>
  <si>
    <t>Torneira de Parede , Decamatic, Ref. 1173C, Acabamento Cromado</t>
  </si>
  <si>
    <t>BWC PPP</t>
  </si>
  <si>
    <t>Cuba de embutir oval, DECA, Ref.  L 37, na cor branca</t>
  </si>
  <si>
    <t>Bacia Sanitária, DECA LInha Ravena com caixa acoplada,</t>
  </si>
  <si>
    <t>Ref. P9, cor Branco</t>
  </si>
  <si>
    <t xml:space="preserve">Válvula de Descarga DECA, Ref. 2551; Barra de Apoio 90 cm DECA Ref. 2310;  </t>
  </si>
  <si>
    <t>Barra de Apoio para Lavatório DECA Ref. 2310;  Ducha Manual DECA linha Belle Époque Light Ref 1984 C51;</t>
  </si>
  <si>
    <t>Testeira- 7cm</t>
  </si>
  <si>
    <t>Tanque inox de embutir Aço 304</t>
  </si>
  <si>
    <t>Vestiário</t>
  </si>
  <si>
    <t>Fem. e Masc.</t>
  </si>
  <si>
    <t xml:space="preserve">BWC dos Repousos </t>
  </si>
  <si>
    <t xml:space="preserve">Torneira de Parede , Decamatic, </t>
  </si>
  <si>
    <t>LInha Ravena,</t>
  </si>
  <si>
    <t xml:space="preserve">Com caixa acoplada,  Ref. P9, </t>
  </si>
  <si>
    <t>Higienização e escovação</t>
  </si>
  <si>
    <t>Lavatório coletivo em aço inox 304, tipo cocho;</t>
  </si>
  <si>
    <t>Farmácia</t>
  </si>
  <si>
    <t>PE/Serviço</t>
  </si>
  <si>
    <t>Recuperação</t>
  </si>
  <si>
    <t>Estar / Espera</t>
  </si>
  <si>
    <t>Utilidades / Expurgo</t>
  </si>
  <si>
    <t>P10</t>
  </si>
  <si>
    <t>ESQUADRIAS</t>
  </si>
  <si>
    <t>J10</t>
  </si>
  <si>
    <t>J17</t>
  </si>
  <si>
    <t>P11</t>
  </si>
  <si>
    <t>P12</t>
  </si>
  <si>
    <t>JANELAS</t>
  </si>
  <si>
    <t>-</t>
  </si>
  <si>
    <t>GF1</t>
  </si>
  <si>
    <t>PCF01</t>
  </si>
  <si>
    <t>J20</t>
  </si>
  <si>
    <t>J19</t>
  </si>
  <si>
    <t>J14</t>
  </si>
  <si>
    <t>J13</t>
  </si>
  <si>
    <t>J12</t>
  </si>
  <si>
    <t>J11</t>
  </si>
  <si>
    <t>PCF02</t>
  </si>
  <si>
    <t>J24</t>
  </si>
  <si>
    <t>J18</t>
  </si>
  <si>
    <t>J21</t>
  </si>
  <si>
    <t>J16</t>
  </si>
  <si>
    <t>P2</t>
  </si>
  <si>
    <t>J8</t>
  </si>
  <si>
    <t>J9</t>
  </si>
  <si>
    <t>P4</t>
  </si>
  <si>
    <t>J23</t>
  </si>
  <si>
    <t>LAVATORIO</t>
  </si>
  <si>
    <t>P5V</t>
  </si>
  <si>
    <t>P7V</t>
  </si>
  <si>
    <t>P3C</t>
  </si>
  <si>
    <t>P5C</t>
  </si>
  <si>
    <t>COBERTA</t>
  </si>
  <si>
    <t>2.1</t>
  </si>
  <si>
    <t>2.2</t>
  </si>
  <si>
    <t>2.3</t>
  </si>
  <si>
    <t>J15</t>
  </si>
  <si>
    <t>J22</t>
  </si>
  <si>
    <t>P3</t>
  </si>
  <si>
    <t>P5VG</t>
  </si>
  <si>
    <t>P5G</t>
  </si>
  <si>
    <t>P6</t>
  </si>
  <si>
    <t>P7</t>
  </si>
  <si>
    <t>P8</t>
  </si>
  <si>
    <t>P9</t>
  </si>
  <si>
    <t>PG09</t>
  </si>
  <si>
    <t>PG10</t>
  </si>
  <si>
    <t>PM ANTIGA DE 90CM</t>
  </si>
  <si>
    <t>PM ANTIGA DE 100CM</t>
  </si>
  <si>
    <t>PM ANTIGA DE 110CM</t>
  </si>
  <si>
    <t>PM ANTIGA DE 120CM</t>
  </si>
  <si>
    <t>PM ANTIGA DE 130CM</t>
  </si>
  <si>
    <t>PM ANTIGA DE 140CM</t>
  </si>
  <si>
    <t>PM ANTIGA DE 150CM</t>
  </si>
  <si>
    <t>PM ANTIGA DE 200CM</t>
  </si>
  <si>
    <t>JAV DE 1,5X1,5</t>
  </si>
  <si>
    <t>JAV DE 1,8X1,5</t>
  </si>
  <si>
    <t>JAV DE 1,6X1,5</t>
  </si>
  <si>
    <t>RASGO ANTIGO</t>
  </si>
  <si>
    <t>PG ANTIGA</t>
  </si>
  <si>
    <t>LARGURA</t>
  </si>
  <si>
    <t xml:space="preserve">ALTURA </t>
  </si>
  <si>
    <t>PORTA</t>
  </si>
  <si>
    <t>INTERNO</t>
  </si>
  <si>
    <t>DIVERSOS</t>
  </si>
  <si>
    <t>área total do terreno</t>
  </si>
  <si>
    <t>TERREO</t>
  </si>
  <si>
    <t>DEPOSITO</t>
  </si>
  <si>
    <t>VESTIÁRIO MASC.</t>
  </si>
  <si>
    <t>VESTIÁRIO FEM.</t>
  </si>
  <si>
    <t>FACHADA FRONTAL</t>
  </si>
  <si>
    <t>EXTERNO</t>
  </si>
  <si>
    <t>GUARDA CORPO</t>
  </si>
  <si>
    <t>PRÉDIO PRINCIPAL</t>
  </si>
  <si>
    <t>PORTAS</t>
  </si>
  <si>
    <t>ALVENARIA</t>
  </si>
  <si>
    <t>EMBASAMENTO</t>
  </si>
  <si>
    <t>BANCADAS DE GRANITO</t>
  </si>
  <si>
    <t>3.3</t>
  </si>
  <si>
    <t>3.4</t>
  </si>
  <si>
    <t>MOVIMENTO DE TERRA</t>
  </si>
  <si>
    <t>M3XKM</t>
  </si>
  <si>
    <t>JA01</t>
  </si>
  <si>
    <t>JA02</t>
  </si>
  <si>
    <t>JA03</t>
  </si>
  <si>
    <t>JA04</t>
  </si>
  <si>
    <t>JA05</t>
  </si>
  <si>
    <t>JA06</t>
  </si>
  <si>
    <t>JA07</t>
  </si>
  <si>
    <t>JA08</t>
  </si>
  <si>
    <t>JA09</t>
  </si>
  <si>
    <t>JA10</t>
  </si>
  <si>
    <t>JA11</t>
  </si>
  <si>
    <t>JA12</t>
  </si>
  <si>
    <t>JA13</t>
  </si>
  <si>
    <t>JA14</t>
  </si>
  <si>
    <t>JA15</t>
  </si>
  <si>
    <t>JA16</t>
  </si>
  <si>
    <t>JA17</t>
  </si>
  <si>
    <t>GRADE01</t>
  </si>
  <si>
    <t>GRADE02</t>
  </si>
  <si>
    <t>PM01</t>
  </si>
  <si>
    <t>PMV01</t>
  </si>
  <si>
    <t>PC01</t>
  </si>
  <si>
    <t>PC02</t>
  </si>
  <si>
    <t>PC03</t>
  </si>
  <si>
    <t>PC04</t>
  </si>
  <si>
    <t>PC05</t>
  </si>
  <si>
    <t>PC06</t>
  </si>
  <si>
    <t>PF01</t>
  </si>
  <si>
    <t>PF02</t>
  </si>
  <si>
    <t>PF03</t>
  </si>
  <si>
    <t>PF04</t>
  </si>
  <si>
    <t>PF05</t>
  </si>
  <si>
    <t>PF06</t>
  </si>
  <si>
    <t>PA01</t>
  </si>
  <si>
    <t>PG02-PORTA</t>
  </si>
  <si>
    <t>PG02-BANDEIRA</t>
  </si>
  <si>
    <t>PLANILHA</t>
  </si>
  <si>
    <t>PG01-PORTA</t>
  </si>
  <si>
    <t>PG01-BANDEIRA</t>
  </si>
  <si>
    <t>PG01-GRADE LATERAL</t>
  </si>
  <si>
    <t>PG03-PORTA</t>
  </si>
  <si>
    <t>PG03-BANDEIRA</t>
  </si>
  <si>
    <t>PG03-GRADE LATERAL</t>
  </si>
  <si>
    <t>PG04-PORTA</t>
  </si>
  <si>
    <t>PG04-BANDEIRA</t>
  </si>
  <si>
    <t>PG04-GRADE LATERAL</t>
  </si>
  <si>
    <t>PG05-PORTA</t>
  </si>
  <si>
    <t>PG05-BANDEIRA</t>
  </si>
  <si>
    <t>PG05-GRADE LATERAL</t>
  </si>
  <si>
    <t>PG06-PORTA</t>
  </si>
  <si>
    <t>PG06-BANDEIRA</t>
  </si>
  <si>
    <t>PG06-GRADE LATERAL</t>
  </si>
  <si>
    <t>PG07-PORTA</t>
  </si>
  <si>
    <t>PG07-BANDEIRA</t>
  </si>
  <si>
    <t>PG07-GRADE LATERAL</t>
  </si>
  <si>
    <t>PG08-PORTA</t>
  </si>
  <si>
    <t>PG08-BANDEIRA</t>
  </si>
  <si>
    <t>PG08-GRADE LATERAL</t>
  </si>
  <si>
    <t>PG09-PORTA</t>
  </si>
  <si>
    <t>PG09-BANDEIRA</t>
  </si>
  <si>
    <t>PG10-PORTA</t>
  </si>
  <si>
    <t>PG10-BANDEIRA</t>
  </si>
  <si>
    <t>PG10-GRADE LATERAL</t>
  </si>
  <si>
    <t>WC FEM.</t>
  </si>
  <si>
    <t>WC MASC.</t>
  </si>
  <si>
    <t>LIXO MOLHADO</t>
  </si>
  <si>
    <t>PG02.1-GRADE LATERAL</t>
  </si>
  <si>
    <t>PG02.2-GRADE LATERAL</t>
  </si>
  <si>
    <t>WC FEM</t>
  </si>
  <si>
    <t>PAREDES</t>
  </si>
  <si>
    <t>ESTACIONAMENTO</t>
  </si>
  <si>
    <t>SINALIZAÇÃO DA OBRA</t>
  </si>
  <si>
    <t>1.3.2</t>
  </si>
  <si>
    <t>1.3.3</t>
  </si>
  <si>
    <t>1.1.1</t>
  </si>
  <si>
    <t>1.1.2</t>
  </si>
  <si>
    <t>1.1.3</t>
  </si>
  <si>
    <t>1.2.1</t>
  </si>
  <si>
    <t>DRENAGEM</t>
  </si>
  <si>
    <t>Peso (t ou kg)</t>
  </si>
  <si>
    <t>CASA DOS LIXOS</t>
  </si>
  <si>
    <t>JARDIM PRÓXIMO AO ESTACIONAMENTO EXTERNO</t>
  </si>
  <si>
    <t>JARDIM FRONTAL EXTERNO</t>
  </si>
  <si>
    <t>CALÇADA ESTACIONAMENTO EXTERNA</t>
  </si>
  <si>
    <t>CALÇADA FRONTAL/ENTORNO DO PRÉDIO EXTERNA</t>
  </si>
  <si>
    <t>RAMPA DA ENTRADA PRINCIPAL</t>
  </si>
  <si>
    <t>ENTRADA PRINCIPAL</t>
  </si>
  <si>
    <t>RECEPÇÃO/PROTOCOLO</t>
  </si>
  <si>
    <t>CIRCULAÇÃO PRINCIPAL/PROTOCOLO ATÉ DEPÓSITO</t>
  </si>
  <si>
    <t>RECEPÇÃO/CIRCULAÇÃO PRINCIPAL</t>
  </si>
  <si>
    <t>CIRCULAÇÃO PRINCIPAL/SALA CENTRAL DE RÁDIO ATÉ SALA DO ARMEIRO</t>
  </si>
  <si>
    <t>CAIXA DE AREIA/CIRCULAÇÃO PRINCIPAL</t>
  </si>
  <si>
    <t>CIRCULAÇÃO PRINCIPAL/SALA SUB-COMANDANTE ATÉ COZINHA</t>
  </si>
  <si>
    <t>PROTOCOLO/SALA DE ADMINISTRAÇÃO</t>
  </si>
  <si>
    <t>SALA DE ADMINISTRAÇÃO/WC FEM.</t>
  </si>
  <si>
    <t>WC FEM./WC MASC.</t>
  </si>
  <si>
    <t>WC MASC./AUDITÓRIO</t>
  </si>
  <si>
    <t>AUDITÓRIO</t>
  </si>
  <si>
    <t>AUDITÓRIO/VESTIÁRIO-WCB ALOJAMENTO DE SOLDADOS FEMININOS</t>
  </si>
  <si>
    <t>VESTIÁRIO VESTIÁRIO ALOJAMENTO DE SOLDADOS FEMININO/WCB ALOJAMENTO DE SOLDADOS FEMININOS</t>
  </si>
  <si>
    <t>VESTIÁRIO-WCB ALOJAMENTO DE SOLDADOS FEMININOS/ALOJAMENTO DE SOLDADOS FEMININOS</t>
  </si>
  <si>
    <t>ALOJAMENTO DE SOLDADOS FEMININOS/ALOJAMENTO DE SOLDADOS MASCULINO</t>
  </si>
  <si>
    <t>ALOJAMENTO DE SOLDADOS MASCULINO/VESTIÁRIO ALOJAMENTO DE SOLDADOS MASCULINO</t>
  </si>
  <si>
    <t>VESTIÁRIO ALOJAMENTO DE SOLDADOS MASCULINO/WCB ALOJAMENTO DE SOLDADOS MASCULINO</t>
  </si>
  <si>
    <t>WCB ALOJAMENTO DE SOLDADOS MASCULINO/DEPÓSITO</t>
  </si>
  <si>
    <t>REFEITÓRIO/COZINHA</t>
  </si>
  <si>
    <t>REFEITÓRIO/ALOJAMENTO DOS SARGENTOS E TENENTES</t>
  </si>
  <si>
    <t>ALOJAMENTO DOS SARGENTOS E TENENTES/WCB MASC.-VESTIÁRIO ALOJAMENTO DOS SARGENTOS E TENENTES</t>
  </si>
  <si>
    <t>SARGENTOS E TENENTES - WCB FEM./WCB MASC.</t>
  </si>
  <si>
    <t>VESTIÁRIO ALOJAMENTO DOS SARGENTOS E TENENTES/WCB FEM.-WCB MASC.</t>
  </si>
  <si>
    <t>VESTIÁRIO ALOJAMENTO DOS SARGENTOS E TENENTES-WCB FEM./VESTIÁRIO ALOJAMENTO DOS OFICIAIS-WCB FEM.</t>
  </si>
  <si>
    <t>ALOJAMENTO DOS OFICIAIS/WCB MASC.-VESTIÁRIO ALOJAMENTO DOS OFICIAIS</t>
  </si>
  <si>
    <t>OFICIAIS - WCB FEM./WCB MASC.</t>
  </si>
  <si>
    <t>VESTIÁRIO ALOJAMENTO DOS OFICIAIS/WCB FEM.-WCB MASC.</t>
  </si>
  <si>
    <t>ALOJAMENTO DOS OFICIAIS/SALA DO COMANDANTE-WCB COMANDANTE</t>
  </si>
  <si>
    <t>ALOJAMENTO DO COMANDANTE/WCB COMANDANTE</t>
  </si>
  <si>
    <t>SALA DO COMANDANTE/ALOJAMENTO DO COMANDANTE-WCB COMANDANTE</t>
  </si>
  <si>
    <t>SALA DO COMANDANTE/SALA DE REUNIÃO</t>
  </si>
  <si>
    <t>SALA DE REUNIÃO/ALOJAMENTO DO COMANDANTE</t>
  </si>
  <si>
    <t>SALA DE REUNIÃO-ALOJAMENTO DO COMANDANTE/SALA DO SUB-COMANDANTE-ALOJAMENTO SUB-COMANDANTE</t>
  </si>
  <si>
    <t>SALA DO SUB-COMANDANTE/ALOJAMENTO SUB-COMANDANTE</t>
  </si>
  <si>
    <t>WCB DO SUB-COMANDANTE/ALOJAMENTO SUB-COMANDANTE</t>
  </si>
  <si>
    <t>CAIXA DE AREIA SALA DO ARMEIRO/WCB DO SUB-COMANDANTE</t>
  </si>
  <si>
    <t>CAIXA DE AREIA/SALA DO ARMEIRO</t>
  </si>
  <si>
    <t>SALA DO ARMEIRO</t>
  </si>
  <si>
    <t>SALA DO ARMEIRO/ALOJAMENTO E WCB DO ARMEIRO</t>
  </si>
  <si>
    <t>ALOJAMENTO DO ARMEIRO/WCB DO ARMEIRO</t>
  </si>
  <si>
    <t>SALA DE INTELIGÊNCIA/ALOJAMENTO DO ARMEIRO-WCB DO ARMEIRO</t>
  </si>
  <si>
    <t>SALA CENTRAL DE RÁDIO/SALA DE INTELIGÊNCIA</t>
  </si>
  <si>
    <t>RECEPÇÃO/SALA CENTRAL DE RÁDIO</t>
  </si>
  <si>
    <t>LIXO SECO/LIXO MOLHADO</t>
  </si>
  <si>
    <t>GUARITA</t>
  </si>
  <si>
    <t>FACHADAS</t>
  </si>
  <si>
    <t>FACHADA FRONTAL/SALA DE ADMINISTRAÇÃO-PROTOCOLO</t>
  </si>
  <si>
    <t>FACHADA FRONTAL/SALA CENTRAL DE RÁDIO</t>
  </si>
  <si>
    <t>FACHADA FRONTAL RECEPÇÃO</t>
  </si>
  <si>
    <t>FACHADA FRONTAL ACESSO DE VEICULOS-LATERAL</t>
  </si>
  <si>
    <t>FACHADA LATERAL ESQUERDA/SALA CENTRAL DE RÁDIO ATÉ COZINHA</t>
  </si>
  <si>
    <t>FACHADA LATERAL ESQUERDA SUPERIOR A GUARITA</t>
  </si>
  <si>
    <t>FACHADA LATERAL ESQUERDA JARDIM-EXTERNO</t>
  </si>
  <si>
    <t>FACHADA POSTERIOR</t>
  </si>
  <si>
    <t>FACHADA LATERAL DIREITA 01</t>
  </si>
  <si>
    <t>FACHADA LATERAL DIREITA 02</t>
  </si>
  <si>
    <t>MURO AO ENTORNO</t>
  </si>
  <si>
    <t>PÁTIO E ÁREAS EXTERNAS LATERAL DIREITA</t>
  </si>
  <si>
    <t>ESTACIONAMENTO POSTERIOR</t>
  </si>
  <si>
    <t>ACESSO LARERAL ESQUERDA</t>
  </si>
  <si>
    <t>FACHADA FRONTAL/LIXO SECO-MOLHADO</t>
  </si>
  <si>
    <t>PV01</t>
  </si>
  <si>
    <t>PM03</t>
  </si>
  <si>
    <t>PM02</t>
  </si>
  <si>
    <t>SALA DE REUNIÃOE/ALOJAMENTO DO COMANDANTE</t>
  </si>
  <si>
    <t>SALA DE REUNIÃOE-ALOJAMENTO DO COMANDANTE/SALA DO SUB-COMANDANTE-ALOJAMENTO SUB-COMANDANTE</t>
  </si>
  <si>
    <t>FACHADA FRONTAL PLATIBANDA RECEPÇÃO-VIGA</t>
  </si>
  <si>
    <t>FACHADA FRONTAL PLATIBANDA RECEPÇÃO-SUPERIOR</t>
  </si>
  <si>
    <t>FACHADA FRONTAL ACESSO DE VEICULOS-PORTICO</t>
  </si>
  <si>
    <t>FACHADA FRONTAL PÓRTICO SOBRE A GUARITA</t>
  </si>
  <si>
    <t>PROTOCOLO</t>
  </si>
  <si>
    <t>SALA DE ADMINISTRAÇÃO</t>
  </si>
  <si>
    <t>CIRCULAÇÃO ENTRE WC MASC./AUDITÓRIO</t>
  </si>
  <si>
    <t>WCB VESTIÁRIO FEM.</t>
  </si>
  <si>
    <t>ALOJAMENTO DE SOLDADOS FEMININO</t>
  </si>
  <si>
    <t>ALOJAMENTO DE SOLDADOS MASCULINO</t>
  </si>
  <si>
    <t>WCB VESTIÁRIO MASC.</t>
  </si>
  <si>
    <t>CIRCULAÇÃO PRINCIPAL</t>
  </si>
  <si>
    <t>ALOJAMENTO DOS SARGENTOS E TENENTES</t>
  </si>
  <si>
    <t>VESTIÁRIOS ALOJAMENTO DOS SARGENTOS E TENENTES</t>
  </si>
  <si>
    <t>WCB MASC. ALOJAMENTO DOS SARGENTOS E TENENTES</t>
  </si>
  <si>
    <t>WCB FEM. ALOJAMENTO DOS SARGENTOS E TENENTES</t>
  </si>
  <si>
    <t>ALOJAMENTO DOS OFICIAIS</t>
  </si>
  <si>
    <t>VESTIÁRIOS ALOJAMENTO DOS OFICIAIS</t>
  </si>
  <si>
    <t>WCB MASC. ALOJAMENTO DOS OFICIAIS</t>
  </si>
  <si>
    <t>WCB FEM. ALOJAMENTO DOS OFICIAIS</t>
  </si>
  <si>
    <t>SALA DO COMANDANTE</t>
  </si>
  <si>
    <t>ALOJAMENTO DO COMANDANTE</t>
  </si>
  <si>
    <t>WCB ALOJAMENTO DO COMANDANTE</t>
  </si>
  <si>
    <t>SALA DE REUNIÃO</t>
  </si>
  <si>
    <t>SALA DO SUB-COMANDANTE</t>
  </si>
  <si>
    <t>ALOJAMENTO DO SUB-COMANDANTE</t>
  </si>
  <si>
    <t>WCB ALOJAMENTO DO SUB-COMANDANTE</t>
  </si>
  <si>
    <t>SALA DA RESERVA DE ARMAS</t>
  </si>
  <si>
    <t>ALOJAMENTO DO ARMEIRO</t>
  </si>
  <si>
    <t>WCB ALOJAMENTO DO ARMEIRO</t>
  </si>
  <si>
    <t>SALA DE INTELIGÊNCIA</t>
  </si>
  <si>
    <t>CENTRAL DE RÁDIO</t>
  </si>
  <si>
    <t>WCB GUARITA</t>
  </si>
  <si>
    <t>CALÇADA AO ENTORNO ESQUERDO DO PREDIO E FACHADA FRONTAL</t>
  </si>
  <si>
    <t>ESTACIONAMENTO FACHADA FRONTAL</t>
  </si>
  <si>
    <t>CALÇADA AO ENTORNO DIREITO DO PREDIO E DO ESTACIONAMENTO</t>
  </si>
  <si>
    <t>LASTRO DE AREIA</t>
  </si>
  <si>
    <t>CAIXA DE AREIA- SALA DO ARMEIRO</t>
  </si>
  <si>
    <t>JARDIM LATERAL FRONTAL</t>
  </si>
  <si>
    <t>JARDIM LATERAL ESQUERDA</t>
  </si>
  <si>
    <t>JARDIM LATERAL DIREITA/POSTERIOR</t>
  </si>
  <si>
    <t>ACESSO DO ESTACIONAMENTO POSTERIOR/ESTACIONAMENTO</t>
  </si>
  <si>
    <t>CALÇADA DE ACESSO DO ESTACIONAMENTO POSTERIOR</t>
  </si>
  <si>
    <t>CALÇADA FACHADA FRONTAL</t>
  </si>
  <si>
    <t>ESTACIONAMENTO DA FACHADA FRONTAL/JARDIM</t>
  </si>
  <si>
    <t>FACHADA FRONTAL ESTACIONAMENTO - FAIXA VERTICAL</t>
  </si>
  <si>
    <t>FACHADA FRONTAL ESTACIONAMENTO - FAIXA HORIZONTAL</t>
  </si>
  <si>
    <t>FACHADA FRONTAL ESTACIONAMENTO - FAIXA DE IDOSO</t>
  </si>
  <si>
    <t>FACHADA FRONTAL ESTACIONAMENTO - FAIXA DE DEFICIENTES</t>
  </si>
  <si>
    <t>FACHADA POSTERIOR ESTACIONAMENTO-FAIXA BORDA</t>
  </si>
  <si>
    <t>FACHADA POSTERIOR ESTACIONAMENTO-FAIXA DIVISÓRIA</t>
  </si>
  <si>
    <t>JANELA DA RECEPÇÃO</t>
  </si>
  <si>
    <t>PV02</t>
  </si>
  <si>
    <t>FACHADA FRONTAL PLATIBANDA RECEPÇÃO</t>
  </si>
  <si>
    <t>FACHADA FRONTAL ACESSO DE VEICULOS-EXTERNO</t>
  </si>
  <si>
    <t>FACHADA FRONTAL ACESSO DE VEICULOS-INTERNO</t>
  </si>
  <si>
    <t>FACHADA FRONTAL GUARITA</t>
  </si>
  <si>
    <t>FACHADA FRONTAL PÓRTICO SOBRE A GUARITA-EXTERNO</t>
  </si>
  <si>
    <t>FACHADA FRONTAL PÓRTICO SOBRE A GUARITA-INTERNO</t>
  </si>
  <si>
    <t>FACHADA LATERAL ESQUERDA</t>
  </si>
  <si>
    <t>FACHADA LATERAL ESQUERDA GUARITA</t>
  </si>
  <si>
    <t>FACHADA LATERAL ESQUERDA JARDIM-INTERNO</t>
  </si>
  <si>
    <t xml:space="preserve">FACHADA FRONTAL INTERNA </t>
  </si>
  <si>
    <t>EXTERNO LATERAL DIREITA</t>
  </si>
  <si>
    <t>EXTERNO POSTERIOR</t>
  </si>
  <si>
    <t>EXTERNO LARERAL ESQUERDA</t>
  </si>
  <si>
    <t>MURETA DA CAIXA DE AREIA</t>
  </si>
  <si>
    <t>FACHADA FRONTAL PORTÃO PRINCIPAL</t>
  </si>
  <si>
    <t>FACHADA FRONTAL RECEPÇÃO-PROTOCOLO-SALA DE ADMINISTRAÇÃO</t>
  </si>
  <si>
    <t>FACHADA FRONTAL ACESSO DE VEICULOS</t>
  </si>
  <si>
    <t>LAJE IMPERMEABILIZADA PRÉDIO</t>
  </si>
  <si>
    <t>LAJE IMPERMEABILIZADA RECEPÇÃO</t>
  </si>
  <si>
    <t>LAJE IMPERMEABILIZADA GUARITA</t>
  </si>
  <si>
    <t>WC FEM./CIRCULAÇÃO PRINCIPAL</t>
  </si>
  <si>
    <t>WC MASC./CIRCULAÇÃO PRINCIPAL</t>
  </si>
  <si>
    <t>WCB ALOJAMENTO DE SOLDADOS FEMININO/FACHADA LATERAL DIREITA</t>
  </si>
  <si>
    <t>VESTIÁRIO ALOJAMENTO DE SOLDADOS MASCULINO/FACHADA LATERAL DIREITA</t>
  </si>
  <si>
    <t>WCB ALOJAMENTO DE SOLDADOS MASCULINO/FACHADA LATERAL DIREITA</t>
  </si>
  <si>
    <t>DEPOSITO/FACHADA LATERAL DIREITA</t>
  </si>
  <si>
    <t>WC MASC. ALOJAMENTO DOS SARGENTOS E TENENTES/FACHADA LATERAL ESQUERDA</t>
  </si>
  <si>
    <t>WC FEM. ALOJAMENTO DOS SARGENTOS E TENENTES/FACHADA LATERAL ESQUERDA</t>
  </si>
  <si>
    <t>WC MASC. ALOJAMENTO DOS OFICIAIS/FACHADA LATERAL ESQUERDA</t>
  </si>
  <si>
    <t>WC FEM. ALOJAMENTO DOS OFICIAIS/FACHADA LATERAL ESQUERDA</t>
  </si>
  <si>
    <t>SALA DO COMANDANTE/ALOJAMENTO DO COMANDANTE</t>
  </si>
  <si>
    <t>ALOJAMENTO DO COMANDANTE/SALA DE REUNIÃO</t>
  </si>
  <si>
    <t>WCB ALOJAMENTO DO COMANDANTE/FACHADA LATERAL ESQUERDA</t>
  </si>
  <si>
    <t>WCB ALOJAMENTO DO SUB-COMANDANTE/FACHADA LATERAL ESQUERDA</t>
  </si>
  <si>
    <t>ALOJAMENTO DO SUB-COMANDANTE/SALA DO SUB-COMANDANTE</t>
  </si>
  <si>
    <t>WC DO ARMEIRO/FACHADA LATERAL ESQUERDA</t>
  </si>
  <si>
    <t>GUARITA/FACHADA LATERAL ESQUERDA</t>
  </si>
  <si>
    <t>SALA DE ADMINISTRAÇÃO/FACHADA LATERAL DIREITA</t>
  </si>
  <si>
    <t>ALOJAMENTO DE SOLDADOS FEMININO/FACHADA LATERAL DIREITA</t>
  </si>
  <si>
    <t>ALOJAMENTO DE SOLDADOS MASCULINO/FACHADA LATERAL DIREITA</t>
  </si>
  <si>
    <t>COZINHA/FACHADA LATERAL ESQUERDA</t>
  </si>
  <si>
    <t>REFEITÓRIO/FACHADA LATERAL ESQUERDA</t>
  </si>
  <si>
    <t>ALOJAMENTO DOS SARGENTOS E TENENTES/FACHADA LATERAL ESQUERDA</t>
  </si>
  <si>
    <t>ALOJAMENTO DOS OFICIAIS/FACHADA LATERAL ESQUERDA</t>
  </si>
  <si>
    <t>ALOJAMENTO DO COMANDANTE/FACHADA LATERAL ESQUERDA</t>
  </si>
  <si>
    <t>ALOJAMENTO DO SUB-COMANDANTE/FACHADA LATERAL ESQUERDA</t>
  </si>
  <si>
    <t>SALA DO ARMEIRO/FACHADA LATERAL ESQUERDA</t>
  </si>
  <si>
    <t>ALOJAMENTO DO ARMEIRO/FACHADA LATERAL ESQUERDA</t>
  </si>
  <si>
    <t>SALA DE INTELIGÊNCIA/FACHADA LATERAL ESQUERDA</t>
  </si>
  <si>
    <t>SALA CENTRAL RÁDIO/FACHADA LATERAL ESQUERDA</t>
  </si>
  <si>
    <t>SALA DO ARMEIRO/CIRCULAÇÃO PRINCIPAL</t>
  </si>
  <si>
    <t>GUARITA/FACHADA FRONTAL</t>
  </si>
  <si>
    <t>AUDITÓRIO/CIRCULAÇÃO PRINCIPAL</t>
  </si>
  <si>
    <t>AUDITÓRIO/FACHADA LATERAL DIREITA</t>
  </si>
  <si>
    <t>CIRCULAÇÃO PRINCIPAL/FACHADA POSTERIOR</t>
  </si>
  <si>
    <t>PROTOCOLO/CIRCULAÇÃO PRINCIPAL</t>
  </si>
  <si>
    <t>SALA DE ADMINISTRAÇÃO/CIRCULAÇÃO PRINCIPAL</t>
  </si>
  <si>
    <t>ALOJAMENTO DE SOLDADOS FEMININO/CIRCULAÇÃO PRINCIPAL</t>
  </si>
  <si>
    <t>ALOJAMENTO DE SOLDADOS FEMININO/VESTIÁRIO ALOJAMENTO DE SOLDADOS FEMININO</t>
  </si>
  <si>
    <t>WCB ALOJAMENTO DE SOLDADOS FEMININO/VESTIÁRIO ALOJAMENTO DE SOLDADOS FEMININO</t>
  </si>
  <si>
    <t>ALOJAMENTO DE SOLDADOS MASCULINO/CIRCULAÇÃO PRINCIPAL</t>
  </si>
  <si>
    <t>WCB ALOJAMENTO DE SOLDADOS MASCULINO/VESTIÁRIO ALOJAMENTO DE SOLDADOS MASCULINO</t>
  </si>
  <si>
    <t>DEPOSITO/CIRCULAÇÃO PRINCIPAL</t>
  </si>
  <si>
    <t>COZINHA/REFEITÓRIO</t>
  </si>
  <si>
    <t>REFEITÓRIO/REFEITÓRIO CIRCULAÇÃO PRINCIPAL</t>
  </si>
  <si>
    <t>ALOJAMENTO DOS SARGENTOS E TENENTES/CIRCULAÇÃO PRINCIPAL</t>
  </si>
  <si>
    <t>VESTIÁRIOS ALOJAMENTO DOS SARGENTOS E TENENTES/ALOJAMENTO DOS SARGENTOS E TENENTES</t>
  </si>
  <si>
    <t>WC MASC. ALOJAMENTO DOS SARGENTOS E TENENTES/VESTIÁRIOS ALOJAMENTO DOS SARGENTOS E TENENTES</t>
  </si>
  <si>
    <t>WC FEM. ALOJAMENTO DOS SARGENTOS E TENENTES/VESTIÁRIOS ALOJAMENTO DOS SARGENTOS E TENENTES</t>
  </si>
  <si>
    <t>ALOJAMENTO DOS OFICIAIS/CIRCULAÇÃO PRINCIPAL</t>
  </si>
  <si>
    <t>VESTIÁRIOS ALOJAMENTO DOS OFICIAIS/ALOJAMENTO DOS OFICIAIS</t>
  </si>
  <si>
    <t>WC MASC. ALOJAMENTO DOS OFICIAIS/VESTIÁRIOS ALOJAMENTO DOS OFICIAIS</t>
  </si>
  <si>
    <t>WC FEM. ALOJAMENTO DOS OFICIAIS/VESTIÁRIOS ALOJAMENTO DOS OFICIAIS</t>
  </si>
  <si>
    <t>SALA DO COMANDANTE/CIRCULAÇÃO PRINCIPAL</t>
  </si>
  <si>
    <t>ALOJAMENTO DO COMANDANTE/WC ALOJAMENTO DO COMANDANTE</t>
  </si>
  <si>
    <t>SALA DE REUNIÃO/CIRCULAÇÃO PRINCIPAL</t>
  </si>
  <si>
    <t>SALA DO SUB-COMANDANTE/SALA DE REUNIÃO</t>
  </si>
  <si>
    <t>SALA DO SUB-COMANDANTE/CIRCULAÇÃO PRINCIPAL</t>
  </si>
  <si>
    <t>SALA DA RESERVA DE ARMAS/SALA DO ARMEIRO</t>
  </si>
  <si>
    <t>ALOJAMENTO DO ARMEIRO/SALA DO ARMEIRO</t>
  </si>
  <si>
    <t>WC DO ARMEIRO/ALOJAMENTO DO ARMEIRO</t>
  </si>
  <si>
    <t>SALA DE INTELIGÊNCIA/CIRCULAÇÃO PRINCIPAL</t>
  </si>
  <si>
    <t>SALA CENTRAL RÁDIO/CIRCULAÇÃO PRINCIPAL</t>
  </si>
  <si>
    <t>FACHADA FRONTAL/RECEPÇÃO</t>
  </si>
  <si>
    <t>WC MASC-VERTICAL</t>
  </si>
  <si>
    <t>WC MASC-HORIZONTAL</t>
  </si>
  <si>
    <t>WC FEM.-VERTICAL</t>
  </si>
  <si>
    <t>WC FEM.-HORIZONTAL</t>
  </si>
  <si>
    <t>WCB ALOJAMENTO DE SOLDADOS FEMININO-VERTICAL</t>
  </si>
  <si>
    <t>WCB ALOJAMENTO DE SOLDADOS FEMININO-HORIZONTAL</t>
  </si>
  <si>
    <t>WCB ALOJAMENTO DE SOLDADOS MASCULINO-VERTICAL</t>
  </si>
  <si>
    <t>WCB ALOJAMENTO DE SOLDADOS MASCULINO-HORIZONTAL</t>
  </si>
  <si>
    <t>WCB ALOJAMENTO DE SOLDADOS MASCULINO-MICTÓRIO</t>
  </si>
  <si>
    <t>WC MASC</t>
  </si>
  <si>
    <t>WCB ALOJAMENTO DE SOLDADOS FEMININO</t>
  </si>
  <si>
    <t>WCB ALOJAMENTO DE SOLDADOS MASCULINO</t>
  </si>
  <si>
    <t>WCB MASC. ALOJAMENTO DOS SARGENTIOS E TENENTES</t>
  </si>
  <si>
    <t>WCB FEM. ALOJAMENTO DOS SARGENTIOS E TENENTES</t>
  </si>
  <si>
    <t>RAMPA NA FACHADA LATERAL DIREITA</t>
  </si>
  <si>
    <t>RAMPA NA FACHADA POSTERIOR</t>
  </si>
  <si>
    <t>RAMPA NA FACHADA FRONTAL</t>
  </si>
  <si>
    <t>FACHADA POSTERIOR-</t>
  </si>
  <si>
    <t>SANITÁRIO P/DEFICIENTES</t>
  </si>
  <si>
    <t>ACESSO DO ESTACIONAMENTO/ESTACIONAMENTO</t>
  </si>
  <si>
    <t>13.2.1</t>
  </si>
  <si>
    <t>CORRIMÃO DE PAREDE</t>
  </si>
  <si>
    <t>13.2.2</t>
  </si>
  <si>
    <t>13.2.3</t>
  </si>
  <si>
    <t>ENCUNHAMENTO</t>
  </si>
  <si>
    <t>2.1;2.2;2.3;2.4;2.5;2.6;2.7;2.8</t>
  </si>
  <si>
    <t>13.1.1</t>
  </si>
  <si>
    <t>DIVISÓRIAS EM GRANITO</t>
  </si>
  <si>
    <t>11.2 ; 11.3;11.4; 11.6</t>
  </si>
  <si>
    <t>MANTA DE IMPERMEABILIZAÇÃO</t>
  </si>
  <si>
    <t>11.1</t>
  </si>
  <si>
    <t>IMPERMEABILIZAÇÃO COM ARGAMASSA POLIMÉRICA</t>
  </si>
  <si>
    <t>6.2.7</t>
  </si>
  <si>
    <t>MEIO FIO</t>
  </si>
  <si>
    <t>6.2.8</t>
  </si>
  <si>
    <t>DEMARCAÇÃO DOS PISOS PARA ESTACIONAMENTO</t>
  </si>
  <si>
    <t>13.1.3</t>
  </si>
  <si>
    <t>13.1.2</t>
  </si>
  <si>
    <t>BANCADA DE INOX</t>
  </si>
  <si>
    <t>14.7.1</t>
  </si>
  <si>
    <t>SANITÁRIO CONVENCIONAL</t>
  </si>
  <si>
    <t>14.7.2</t>
  </si>
  <si>
    <t>14.7.3</t>
  </si>
  <si>
    <t>MICTÓRIO</t>
  </si>
  <si>
    <t>14.7.4</t>
  </si>
  <si>
    <t>CUBA OVAL</t>
  </si>
  <si>
    <t>14.7.5</t>
  </si>
  <si>
    <t>CUBA INOX</t>
  </si>
  <si>
    <t>14.7.6</t>
  </si>
  <si>
    <t>TORNEIRA BICA BAIXA AUTOMATICA</t>
  </si>
  <si>
    <t>14.7.7</t>
  </si>
  <si>
    <t>TORNEIRA BICA BAIXA</t>
  </si>
  <si>
    <t>14.7.8</t>
  </si>
  <si>
    <t>TORNEIRA BICA ALTA</t>
  </si>
  <si>
    <t>14.7.9</t>
  </si>
  <si>
    <t>BARRA DE APOIO PARA LAVATÓRIO</t>
  </si>
  <si>
    <t>14.7.10</t>
  </si>
  <si>
    <t>BARRA DE APOIO PARA SANITÁRIO</t>
  </si>
  <si>
    <t>14.7.11</t>
  </si>
  <si>
    <t>LAVATÓRIO LOUÇA BRANCA COM COLUNA</t>
  </si>
  <si>
    <t>14.7.12</t>
  </si>
  <si>
    <t>LAVATÓRIO LOUÇA DE CANTO</t>
  </si>
  <si>
    <t>14.7.13</t>
  </si>
  <si>
    <t>CHUVEIRO</t>
  </si>
  <si>
    <t>14.7.14</t>
  </si>
  <si>
    <t>PORTA PAPEL HIGIENICO</t>
  </si>
  <si>
    <t>14.7.15</t>
  </si>
  <si>
    <t>PORTA PAPEL TOALHA</t>
  </si>
  <si>
    <t>14.7.16</t>
  </si>
  <si>
    <t>FILETE DE GRANITO</t>
  </si>
  <si>
    <t>14.7.17</t>
  </si>
  <si>
    <t>SABONETE LIQUIDO</t>
  </si>
  <si>
    <t>Periodo da Obra</t>
  </si>
  <si>
    <t>1.4</t>
  </si>
  <si>
    <t>1.4.1</t>
  </si>
  <si>
    <t>1.4.2</t>
  </si>
  <si>
    <t>ÁREA</t>
  </si>
  <si>
    <t>AREA</t>
  </si>
  <si>
    <t>LOCACAO DE CONTAINER 2,30 X 6,00 M, ALT. 2,50 M, COM 1 SANITARIO, PARA ESCRITORIO, COMPLETO, SEM DIVISORIAS INTERNAS</t>
  </si>
  <si>
    <t>LOCACAO DE CONTAINER 2,30 X 6,00 M, ALT. 2,50 M, PARA SANITARIO, COM 4 BACIAS, 8 CHUVEIROS,1 LAVATORIO E 1 MICTORIO</t>
  </si>
  <si>
    <t>Mobilização e Desmobilização das Maquinas e Equipamentos</t>
  </si>
  <si>
    <t>1.4.3</t>
  </si>
  <si>
    <t>TRANSPORTE VERTICAL, LATA DE 18 L, MANUAL, 1 PAVIMENTO. AF_06/2014</t>
  </si>
  <si>
    <t>L</t>
  </si>
  <si>
    <t>PERIMETROS</t>
  </si>
  <si>
    <t>PARA CONTROLE DE EQUIPAMENTOS</t>
  </si>
  <si>
    <t>1.4.4</t>
  </si>
  <si>
    <t>2.4</t>
  </si>
  <si>
    <t>LOCACAO DE CONTAINER 2,30 X 6,00 M, ALT. 2,50 M, PARA ESCRITORIO, SEM DIVISORIAS INTERNAS E SEM SANITARIO</t>
  </si>
  <si>
    <t>1.1.4</t>
  </si>
  <si>
    <t>EXECUÇÃO DE REFEITÓRIO EM CANTEIRO DE OBRA EM CHAPA DE MADEIRA COMPENSADA, NÃO INCLUSO MOBILIÁRIO E EQUIPAMENTOS. AF_02/2016</t>
  </si>
  <si>
    <t>SINALIZACAO DE TRANSITO - NOTURNA</t>
  </si>
  <si>
    <t>ISOLAMENTO DE OBRA COM TELA PLASTICA COM MALHA DE 5MM E ESTRUTURA DE MADEIRA PONTALETEADA</t>
  </si>
  <si>
    <t>Escavações para bota fora</t>
  </si>
  <si>
    <t>CAPINA E LIMPEZA MANUAL DE TERRENO</t>
  </si>
  <si>
    <t>MOBILIZAÇÃO E DESMOBILIZAÇÃO DE EQUIPAMENTOS</t>
  </si>
  <si>
    <t>UN</t>
  </si>
  <si>
    <t>PLACA DA OBRA EM CHAPA DE AÇO GALVANIZADO</t>
  </si>
  <si>
    <t>SERVIÇOS DE TERRAPLENAGEM</t>
  </si>
  <si>
    <t>CARGA E DESCARGA MECANICA DE SOLO UTILIZANDO CAMINHAO BASCULANTE 6,0M3/16T E PA CARREGADEIRA SOBRE PNEUS 128 HP, CAPACIDADE DA CAÇAMBA 1,7 A 2,8 M3, PESO OPERACIONAL 11632 KG (EMPOLAMENTO 30%)</t>
  </si>
  <si>
    <t>4.3</t>
  </si>
  <si>
    <t>OBRA: ENCOSTA DA AV. AFRÂNIO LAJES</t>
  </si>
  <si>
    <t>COMPRIMENTO x ALTURA MÉDIA</t>
  </si>
  <si>
    <t>CARGA E DESCARGA MECANICA DE SOLO UTILIZANDO CAMINHAO BASCULANTE 6,0M3 /16T E PA CARREGADEIRA SOBRE PNEUS 128 HP, CAPACIDADE DA CAÇAMBA 1,7 A 2,8 M3, PESO OPERACIONAL 11632 KG</t>
  </si>
  <si>
    <t>TRANSPORTE DOS RESÍDUOS DA DA LIMPEZA</t>
  </si>
  <si>
    <t>LOCACAO DA OBRA, COM USO DE EQUIPAMENTOS TOPOGRAFICOS, INCLUSIVE NIVEL ADOR</t>
  </si>
  <si>
    <t>COMPRIMENTO DAS CANALETAS x LARGURA</t>
  </si>
  <si>
    <t>REGULARIZAÇÃO DA ÁREA FACE DO TALUDE DA ENCOSTA</t>
  </si>
  <si>
    <t>DESCIDA D'ÁGUA DE CORTES EM DEGRAUS - DCD 03 - AC/BC</t>
  </si>
  <si>
    <t>DESCIDA RÁPIDA EM DEGRAL A CADA 3 METROS - RECONSTRUIR</t>
  </si>
  <si>
    <t>DRENAGEM EM CANALETA MEIA CANA D=40m ASSENTE SOBRE LASTRO DE AREIA - AC/BC</t>
  </si>
  <si>
    <t>COMPRIMENTO</t>
  </si>
  <si>
    <t>CANALETAS SEMI CIRCULAR</t>
  </si>
  <si>
    <t>DESCIDA RÁPIDA EM DEGRAL A CONSTRUIR</t>
  </si>
  <si>
    <t>PROTEÇÃO DO TALUDE</t>
  </si>
  <si>
    <t>RECOMPOSIÇÃO DO MURO - COMPRIMENTO x LARGURA</t>
  </si>
  <si>
    <t>MURO DE ARRIMO DE CONCRETO CICLOPICO COM 30% DE PEDRA DE MAO</t>
  </si>
  <si>
    <t>RECOMPOSIÇÃO DO MURO - COMPRIMENTO x LARGURA x ALTURA</t>
  </si>
  <si>
    <t>JUNTA DE DILATACAO PARA IMPERMEABILIZACAO, COM SELANTE ELASTICO MONOCO MPONENTE A BASE DE POLIURETANO, DIMENSOES 1X1CM.</t>
  </si>
  <si>
    <t>RECOMPOSIÇÃO DO MURO - 1 JUNTA A CADA 5 METROS (PERIMETRO)</t>
  </si>
  <si>
    <t>TUBO PVC D=4" COM MATERIAL DRENANTE PARA DRENO/BARBACA - FORNECIMENTO E INSTALACAO</t>
  </si>
  <si>
    <t>01 UNIDADE A CADA 10 METROS</t>
  </si>
  <si>
    <t>RECOMPOSIÇÃO DO MURO - (COMPRIMENTO x ALTURA) X TRANSPASSE = 20%</t>
  </si>
  <si>
    <t>CAMADA VERTICAL DRENANTE C/ PEDRA BRITADA NUMS 1 E 2</t>
  </si>
  <si>
    <t>COMPRIMENTO X ALTURA x ESPESSURA</t>
  </si>
  <si>
    <t>EXECUÇÃO DE REFORÇO E REVEGETAÇÃO DE TALUDE CONTRA EROSÃO</t>
  </si>
  <si>
    <t>FACES DO TALUDE - CONSIDERANDO ALTURA MÉDIA  X COMPRIMENTO</t>
  </si>
  <si>
    <t>4.4</t>
  </si>
  <si>
    <t>4.5</t>
  </si>
  <si>
    <t>4.6</t>
  </si>
  <si>
    <t>4.7</t>
  </si>
  <si>
    <t>ESCAVAÇÃO MANUAL DE VALA COM PROFUNDIDADE MENOR OU IGUAL A 1,30 M. AF_03/2016</t>
  </si>
  <si>
    <t>LASTRO DE CONCRETO MAGRO, APLICADO EM PISOS OU RADIERS, ESPESSURA DE 5 CM. AF_07_2016</t>
  </si>
  <si>
    <t>FORNECIMENTO/INSTALACAO DE MANTA BIDIM RT-31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</si>
</sst>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00_);\(#,##0.0000\)"/>
    <numFmt numFmtId="167" formatCode="0.0%"/>
    <numFmt numFmtId="168" formatCode="_(* #,##0.00_);_(* \(#,##0.00\);_(* \-??_);_(@_)"/>
    <numFmt numFmtId="169" formatCode="0.0000"/>
    <numFmt numFmtId="170" formatCode="&quot;R$ &quot;#,##0.00_);\(&quot;R$ &quot;#,##0.00\)"/>
    <numFmt numFmtId="171" formatCode="_([$€]* #,##0.00_);_([$€]* \(#,##0.00\);_([$€]* \-??_);_(@_)"/>
    <numFmt numFmtId="172" formatCode="_(&quot;R$ &quot;* #,##0.00_);_(&quot;R$ &quot;* \(#,##0.00\);_(&quot;R$ &quot;* \-??_);_(@_)"/>
    <numFmt numFmtId="173" formatCode="_ &quot;R$&quot;* #,##0.00_ ;_ &quot;R$&quot;* \-#,##0.00_ ;_ &quot;R$&quot;* &quot;-&quot;??_ ;_ @_ "/>
    <numFmt numFmtId="174" formatCode="_(&quot;R$ &quot;* #,##0.00_);_(&quot;R$ &quot;* \(#,##0.00\);_(&quot;R$ &quot;* &quot;-&quot;??_);_(@_)"/>
    <numFmt numFmtId="175" formatCode="#,"/>
    <numFmt numFmtId="176" formatCode="_([$€-2]* #,##0.00_);_([$€-2]* \(#,##0.00\);_([$€-2]* &quot;-&quot;??_)"/>
    <numFmt numFmtId="177" formatCode="#,##0.00\ ;&quot; (&quot;#,##0.00\);&quot; -&quot;#\ ;@\ "/>
    <numFmt numFmtId="178" formatCode="_(&quot;$&quot;* #,##0.00_);_(&quot;$&quot;* \(#,##0.00\);_(&quot;$&quot;* &quot;-&quot;??_);_(@_)"/>
  </numFmts>
  <fonts count="9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Tahoma"/>
      <family val="2"/>
    </font>
    <font>
      <b/>
      <sz val="16"/>
      <color theme="3"/>
      <name val="Tahoma"/>
      <family val="2"/>
    </font>
    <font>
      <sz val="10"/>
      <color rgb="FFFF0000"/>
      <name val="Tahoma"/>
      <family val="2"/>
    </font>
    <font>
      <b/>
      <sz val="9"/>
      <color theme="0"/>
      <name val="Tahoma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18"/>
      <color rgb="FFFF000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10"/>
      <name val="Technic"/>
      <charset val="2"/>
    </font>
    <font>
      <sz val="8"/>
      <name val="Tahoma"/>
      <family val="2"/>
      <charset val="1"/>
    </font>
    <font>
      <sz val="7.5"/>
      <name val="Arial"/>
      <family val="2"/>
      <charset val="1"/>
    </font>
    <font>
      <sz val="10"/>
      <color indexed="10"/>
      <name val="Technic"/>
      <charset val="2"/>
    </font>
    <font>
      <sz val="10"/>
      <color indexed="30"/>
      <name val="Technic"/>
      <charset val="2"/>
    </font>
    <font>
      <sz val="7.5"/>
      <color indexed="10"/>
      <name val="Arial"/>
      <family val="2"/>
      <charset val="1"/>
    </font>
    <font>
      <b/>
      <sz val="20"/>
      <name val="TechnicBold"/>
      <charset val="2"/>
    </font>
    <font>
      <sz val="11"/>
      <name val="Arial"/>
      <family val="2"/>
      <charset val="1"/>
    </font>
    <font>
      <sz val="7"/>
      <name val="Arial"/>
      <family val="2"/>
      <charset val="1"/>
    </font>
    <font>
      <sz val="7.5"/>
      <color indexed="9"/>
      <name val="Arial"/>
      <family val="2"/>
      <charset val="1"/>
    </font>
    <font>
      <b/>
      <sz val="9"/>
      <name val="TechnicLite"/>
      <charset val="2"/>
    </font>
    <font>
      <b/>
      <sz val="11"/>
      <name val="TechnicLite"/>
      <charset val="2"/>
    </font>
    <font>
      <sz val="10"/>
      <name val="Tahoma"/>
      <family val="2"/>
      <charset val="1"/>
    </font>
    <font>
      <sz val="12"/>
      <name val="Arial"/>
      <family val="2"/>
      <charset val="1"/>
    </font>
    <font>
      <b/>
      <sz val="14"/>
      <name val="TechnicLite"/>
      <charset val="2"/>
    </font>
    <font>
      <sz val="10"/>
      <color indexed="10"/>
      <name val="Arial"/>
      <family val="2"/>
      <charset val="1"/>
    </font>
    <font>
      <b/>
      <sz val="8"/>
      <name val="TechnicLite"/>
      <charset val="2"/>
    </font>
    <font>
      <sz val="20"/>
      <name val="Arial"/>
      <family val="2"/>
    </font>
    <font>
      <sz val="11"/>
      <name val="Calibri"/>
      <family val="2"/>
      <scheme val="minor"/>
    </font>
    <font>
      <sz val="18"/>
      <color theme="0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11"/>
      <color theme="1"/>
      <name val="Tahoma"/>
      <family val="2"/>
    </font>
    <font>
      <b/>
      <sz val="7"/>
      <color theme="1"/>
      <name val="Times New Roman"/>
      <family val="1"/>
    </font>
    <font>
      <b/>
      <sz val="8"/>
      <color rgb="FFFFFFFF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Helv"/>
      <charset val="204"/>
    </font>
    <font>
      <sz val="10"/>
      <color indexed="8"/>
      <name val="Arial1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"/>
      <color indexed="18"/>
      <name val="Courier"/>
      <family val="3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i/>
      <sz val="10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6"/>
      <color rgb="FFFF0000"/>
      <name val="Arial"/>
      <family val="2"/>
    </font>
    <font>
      <b/>
      <i/>
      <sz val="16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4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8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/>
      <right style="medium">
        <color indexed="64"/>
      </right>
      <top style="medium">
        <color indexed="64"/>
      </top>
      <bottom style="thick">
        <color rgb="FFFFFFFF"/>
      </bottom>
      <diagonal/>
    </border>
    <border>
      <left/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/>
      <diagonal/>
    </border>
    <border>
      <left style="thick">
        <color rgb="FFFFFFFF"/>
      </left>
      <right style="medium">
        <color indexed="64"/>
      </right>
      <top/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dashed">
        <color indexed="64"/>
      </right>
      <top style="thin">
        <color auto="1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dashed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dashed">
        <color indexed="64"/>
      </bottom>
      <diagonal/>
    </border>
  </borders>
  <cellStyleXfs count="3028">
    <xf numFmtId="0" fontId="0" fillId="0" borderId="0"/>
    <xf numFmtId="0" fontId="1" fillId="0" borderId="0"/>
    <xf numFmtId="0" fontId="3" fillId="0" borderId="0" applyFill="0" applyProtection="0">
      <alignment vertical="top"/>
    </xf>
    <xf numFmtId="2" fontId="3" fillId="0" borderId="0" applyFill="0" applyProtection="0">
      <alignment vertical="top"/>
    </xf>
    <xf numFmtId="3" fontId="3" fillId="0" borderId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8" fontId="27" fillId="0" borderId="0"/>
    <xf numFmtId="0" fontId="27" fillId="0" borderId="0"/>
    <xf numFmtId="0" fontId="28" fillId="0" borderId="0"/>
    <xf numFmtId="9" fontId="28" fillId="0" borderId="0"/>
    <xf numFmtId="168" fontId="28" fillId="0" borderId="0"/>
    <xf numFmtId="0" fontId="27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69" fillId="0" borderId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0" fontId="70" fillId="0" borderId="0" applyBorder="0" applyProtection="0"/>
    <xf numFmtId="0" fontId="70" fillId="0" borderId="0"/>
    <xf numFmtId="0" fontId="4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/>
    <xf numFmtId="168" fontId="4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76" fillId="0" borderId="0">
      <protection locked="0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ill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7" fillId="26" borderId="158">
      <alignment wrapText="1"/>
    </xf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9" fillId="0" borderId="0" applyFill="0" applyBorder="0" applyAlignment="0" applyProtection="0"/>
    <xf numFmtId="4" fontId="80" fillId="0" borderId="159" applyFill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9" fillId="0" borderId="0"/>
    <xf numFmtId="0" fontId="1" fillId="0" borderId="0"/>
    <xf numFmtId="177" fontId="1" fillId="0" borderId="0" applyFill="0" applyBorder="0" applyAlignment="0" applyProtection="0"/>
    <xf numFmtId="0" fontId="1" fillId="0" borderId="0"/>
    <xf numFmtId="178" fontId="1" fillId="0" borderId="0" applyFill="0" applyBorder="0" applyAlignment="0" applyProtection="0"/>
    <xf numFmtId="0" fontId="9" fillId="0" borderId="0"/>
    <xf numFmtId="176" fontId="6" fillId="0" borderId="0"/>
    <xf numFmtId="176" fontId="1" fillId="0" borderId="0"/>
    <xf numFmtId="0" fontId="1" fillId="0" borderId="0"/>
    <xf numFmtId="0" fontId="1" fillId="0" borderId="0" applyFill="0" applyProtection="0">
      <alignment vertical="top"/>
    </xf>
    <xf numFmtId="2" fontId="1" fillId="0" borderId="0" applyFill="0" applyProtection="0">
      <alignment vertical="top"/>
    </xf>
    <xf numFmtId="3" fontId="1" fillId="0" borderId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175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179">
      <alignment wrapText="1"/>
    </xf>
    <xf numFmtId="0" fontId="77" fillId="26" borderId="55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194">
      <alignment wrapText="1"/>
    </xf>
    <xf numFmtId="0" fontId="77" fillId="26" borderId="193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4" fillId="0" borderId="195" applyNumberFormat="0" applyFill="0" applyAlignment="0" applyProtection="0"/>
    <xf numFmtId="0" fontId="85" fillId="0" borderId="196" applyNumberFormat="0" applyFill="0" applyAlignment="0" applyProtection="0"/>
    <xf numFmtId="0" fontId="82" fillId="0" borderId="197" applyNumberFormat="0" applyFill="0" applyAlignment="0" applyProtection="0"/>
    <xf numFmtId="0" fontId="8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3" borderId="198" applyNumberFormat="0" applyAlignment="0" applyProtection="0"/>
    <xf numFmtId="0" fontId="90" fillId="34" borderId="199" applyNumberFormat="0" applyAlignment="0" applyProtection="0"/>
    <xf numFmtId="0" fontId="91" fillId="34" borderId="198" applyNumberFormat="0" applyAlignment="0" applyProtection="0"/>
    <xf numFmtId="0" fontId="92" fillId="0" borderId="200" applyNumberFormat="0" applyFill="0" applyAlignment="0" applyProtection="0"/>
    <xf numFmtId="0" fontId="15" fillId="35" borderId="201" applyNumberFormat="0" applyAlignment="0" applyProtection="0"/>
    <xf numFmtId="0" fontId="58" fillId="0" borderId="0" applyNumberFormat="0" applyFill="0" applyBorder="0" applyAlignment="0" applyProtection="0"/>
    <xf numFmtId="0" fontId="9" fillId="36" borderId="202" applyNumberFormat="0" applyFont="0" applyAlignment="0" applyProtection="0"/>
    <xf numFmtId="0" fontId="93" fillId="0" borderId="0" applyNumberFormat="0" applyFill="0" applyBorder="0" applyAlignment="0" applyProtection="0"/>
    <xf numFmtId="0" fontId="7" fillId="0" borderId="203" applyNumberFormat="0" applyFill="0" applyAlignment="0" applyProtection="0"/>
    <xf numFmtId="0" fontId="9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4" fillId="44" borderId="0" applyNumberFormat="0" applyBorder="0" applyAlignment="0" applyProtection="0"/>
    <xf numFmtId="0" fontId="94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4" fillId="56" borderId="0" applyNumberFormat="0" applyBorder="0" applyAlignment="0" applyProtection="0"/>
    <xf numFmtId="0" fontId="94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94" fillId="60" borderId="0" applyNumberFormat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6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8">
      <alignment wrapText="1"/>
    </xf>
    <xf numFmtId="0" fontId="77" fillId="26" borderId="205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8">
      <alignment wrapText="1"/>
    </xf>
    <xf numFmtId="0" fontId="77" fillId="26" borderId="20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8">
      <alignment wrapText="1"/>
    </xf>
    <xf numFmtId="0" fontId="77" fillId="26" borderId="208">
      <alignment wrapText="1"/>
    </xf>
    <xf numFmtId="0" fontId="77" fillId="26" borderId="208">
      <alignment wrapText="1"/>
    </xf>
    <xf numFmtId="0" fontId="77" fillId="26" borderId="208">
      <alignment wrapText="1"/>
    </xf>
    <xf numFmtId="0" fontId="77" fillId="26" borderId="208">
      <alignment wrapText="1"/>
    </xf>
    <xf numFmtId="0" fontId="77" fillId="26" borderId="208">
      <alignment wrapText="1"/>
    </xf>
    <xf numFmtId="176" fontId="9" fillId="0" borderId="0"/>
    <xf numFmtId="0" fontId="77" fillId="26" borderId="217">
      <alignment wrapText="1"/>
    </xf>
    <xf numFmtId="0" fontId="77" fillId="26" borderId="222">
      <alignment wrapText="1"/>
    </xf>
    <xf numFmtId="0" fontId="77" fillId="26" borderId="225">
      <alignment wrapText="1"/>
    </xf>
    <xf numFmtId="0" fontId="77" fillId="26" borderId="227">
      <alignment wrapText="1"/>
    </xf>
    <xf numFmtId="0" fontId="77" fillId="26" borderId="222">
      <alignment wrapText="1"/>
    </xf>
    <xf numFmtId="0" fontId="77" fillId="26" borderId="246">
      <alignment wrapText="1"/>
    </xf>
    <xf numFmtId="0" fontId="77" fillId="26" borderId="217">
      <alignment wrapText="1"/>
    </xf>
    <xf numFmtId="0" fontId="77" fillId="26" borderId="218">
      <alignment wrapText="1"/>
    </xf>
    <xf numFmtId="0" fontId="77" fillId="26" borderId="227">
      <alignment wrapText="1"/>
    </xf>
    <xf numFmtId="0" fontId="77" fillId="26" borderId="238">
      <alignment wrapText="1"/>
    </xf>
    <xf numFmtId="0" fontId="77" fillId="26" borderId="254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13">
      <alignment wrapText="1"/>
    </xf>
    <xf numFmtId="0" fontId="77" fillId="26" borderId="222">
      <alignment wrapText="1"/>
    </xf>
    <xf numFmtId="0" fontId="77" fillId="26" borderId="233">
      <alignment wrapText="1"/>
    </xf>
    <xf numFmtId="0" fontId="77" fillId="26" borderId="227">
      <alignment wrapText="1"/>
    </xf>
    <xf numFmtId="0" fontId="77" fillId="26" borderId="254">
      <alignment wrapText="1"/>
    </xf>
    <xf numFmtId="0" fontId="77" fillId="26" borderId="232">
      <alignment wrapText="1"/>
    </xf>
    <xf numFmtId="0" fontId="77" fillId="26" borderId="243">
      <alignment wrapText="1"/>
    </xf>
    <xf numFmtId="0" fontId="77" fillId="26" borderId="222">
      <alignment wrapText="1"/>
    </xf>
    <xf numFmtId="0" fontId="77" fillId="26" borderId="218">
      <alignment wrapText="1"/>
    </xf>
    <xf numFmtId="0" fontId="77" fillId="26" borderId="221">
      <alignment wrapText="1"/>
    </xf>
    <xf numFmtId="0" fontId="77" fillId="26" borderId="231">
      <alignment wrapText="1"/>
    </xf>
    <xf numFmtId="0" fontId="77" fillId="26" borderId="237">
      <alignment wrapText="1"/>
    </xf>
    <xf numFmtId="0" fontId="77" fillId="26" borderId="221">
      <alignment wrapText="1"/>
    </xf>
    <xf numFmtId="0" fontId="77" fillId="26" borderId="217">
      <alignment wrapText="1"/>
    </xf>
    <xf numFmtId="0" fontId="77" fillId="26" borderId="232">
      <alignment wrapText="1"/>
    </xf>
    <xf numFmtId="0" fontId="77" fillId="26" borderId="214">
      <alignment wrapText="1"/>
    </xf>
    <xf numFmtId="0" fontId="77" fillId="26" borderId="237">
      <alignment wrapText="1"/>
    </xf>
    <xf numFmtId="0" fontId="77" fillId="26" borderId="221">
      <alignment wrapText="1"/>
    </xf>
    <xf numFmtId="0" fontId="77" fillId="26" borderId="212">
      <alignment wrapText="1"/>
    </xf>
    <xf numFmtId="0" fontId="77" fillId="26" borderId="237">
      <alignment wrapText="1"/>
    </xf>
    <xf numFmtId="0" fontId="77" fillId="26" borderId="217">
      <alignment wrapText="1"/>
    </xf>
    <xf numFmtId="0" fontId="77" fillId="26" borderId="216">
      <alignment wrapText="1"/>
    </xf>
    <xf numFmtId="0" fontId="77" fillId="26" borderId="217">
      <alignment wrapText="1"/>
    </xf>
    <xf numFmtId="0" fontId="77" fillId="26" borderId="221">
      <alignment wrapText="1"/>
    </xf>
    <xf numFmtId="0" fontId="77" fillId="26" borderId="222">
      <alignment wrapText="1"/>
    </xf>
    <xf numFmtId="0" fontId="77" fillId="26" borderId="217">
      <alignment wrapText="1"/>
    </xf>
    <xf numFmtId="0" fontId="77" fillId="26" borderId="237">
      <alignment wrapText="1"/>
    </xf>
    <xf numFmtId="0" fontId="77" fillId="26" borderId="232">
      <alignment wrapText="1"/>
    </xf>
    <xf numFmtId="0" fontId="77" fillId="26" borderId="225">
      <alignment wrapText="1"/>
    </xf>
    <xf numFmtId="0" fontId="77" fillId="26" borderId="213">
      <alignment wrapText="1"/>
    </xf>
    <xf numFmtId="0" fontId="77" fillId="26" borderId="248">
      <alignment wrapText="1"/>
    </xf>
    <xf numFmtId="0" fontId="77" fillId="26" borderId="227">
      <alignment wrapText="1"/>
    </xf>
    <xf numFmtId="0" fontId="77" fillId="26" borderId="231">
      <alignment wrapText="1"/>
    </xf>
    <xf numFmtId="0" fontId="77" fillId="26" borderId="231">
      <alignment wrapText="1"/>
    </xf>
    <xf numFmtId="0" fontId="77" fillId="26" borderId="232">
      <alignment wrapText="1"/>
    </xf>
    <xf numFmtId="0" fontId="77" fillId="26" borderId="222">
      <alignment wrapText="1"/>
    </xf>
    <xf numFmtId="0" fontId="77" fillId="26" borderId="222">
      <alignment wrapText="1"/>
    </xf>
    <xf numFmtId="0" fontId="77" fillId="26" borderId="226">
      <alignment wrapText="1"/>
    </xf>
    <xf numFmtId="0" fontId="77" fillId="26" borderId="242">
      <alignment wrapText="1"/>
    </xf>
    <xf numFmtId="0" fontId="77" fillId="26" borderId="228">
      <alignment wrapText="1"/>
    </xf>
    <xf numFmtId="0" fontId="77" fillId="26" borderId="256">
      <alignment wrapText="1"/>
    </xf>
    <xf numFmtId="0" fontId="77" fillId="26" borderId="217">
      <alignment wrapText="1"/>
    </xf>
    <xf numFmtId="0" fontId="77" fillId="26" borderId="231">
      <alignment wrapText="1"/>
    </xf>
    <xf numFmtId="0" fontId="77" fillId="26" borderId="224">
      <alignment wrapText="1"/>
    </xf>
    <xf numFmtId="0" fontId="77" fillId="26" borderId="244">
      <alignment wrapText="1"/>
    </xf>
    <xf numFmtId="0" fontId="77" fillId="26" borderId="221">
      <alignment wrapText="1"/>
    </xf>
    <xf numFmtId="0" fontId="77" fillId="26" borderId="209">
      <alignment wrapText="1"/>
    </xf>
    <xf numFmtId="0" fontId="77" fillId="26" borderId="226">
      <alignment wrapText="1"/>
    </xf>
    <xf numFmtId="0" fontId="77" fillId="26" borderId="222">
      <alignment wrapText="1"/>
    </xf>
    <xf numFmtId="0" fontId="77" fillId="26" borderId="217">
      <alignment wrapText="1"/>
    </xf>
    <xf numFmtId="0" fontId="77" fillId="26" borderId="217">
      <alignment wrapText="1"/>
    </xf>
    <xf numFmtId="0" fontId="77" fillId="26" borderId="217">
      <alignment wrapText="1"/>
    </xf>
    <xf numFmtId="0" fontId="77" fillId="26" borderId="244">
      <alignment wrapText="1"/>
    </xf>
    <xf numFmtId="0" fontId="77" fillId="26" borderId="24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28">
      <alignment wrapText="1"/>
    </xf>
    <xf numFmtId="0" fontId="77" fillId="26" borderId="227">
      <alignment wrapText="1"/>
    </xf>
    <xf numFmtId="0" fontId="77" fillId="26" borderId="232">
      <alignment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10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10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10">
      <alignment wrapText="1"/>
    </xf>
    <xf numFmtId="0" fontId="77" fillId="26" borderId="210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42">
      <alignment wrapText="1"/>
    </xf>
    <xf numFmtId="0" fontId="77" fillId="26" borderId="217">
      <alignment wrapText="1"/>
    </xf>
    <xf numFmtId="0" fontId="77" fillId="26" borderId="221">
      <alignment wrapText="1"/>
    </xf>
    <xf numFmtId="0" fontId="77" fillId="26" borderId="254">
      <alignment wrapText="1"/>
    </xf>
    <xf numFmtId="0" fontId="77" fillId="26" borderId="254">
      <alignment wrapText="1"/>
    </xf>
    <xf numFmtId="0" fontId="77" fillId="26" borderId="218">
      <alignment wrapText="1"/>
    </xf>
    <xf numFmtId="0" fontId="77" fillId="26" borderId="228">
      <alignment wrapText="1"/>
    </xf>
    <xf numFmtId="0" fontId="77" fillId="26" borderId="221">
      <alignment wrapText="1"/>
    </xf>
    <xf numFmtId="0" fontId="77" fillId="26" borderId="232">
      <alignment wrapText="1"/>
    </xf>
    <xf numFmtId="0" fontId="77" fillId="26" borderId="237">
      <alignment wrapText="1"/>
    </xf>
    <xf numFmtId="0" fontId="77" fillId="26" borderId="222">
      <alignment wrapText="1"/>
    </xf>
    <xf numFmtId="0" fontId="77" fillId="26" borderId="229">
      <alignment wrapText="1"/>
    </xf>
    <xf numFmtId="0" fontId="77" fillId="26" borderId="213">
      <alignment wrapText="1"/>
    </xf>
    <xf numFmtId="0" fontId="77" fillId="26" borderId="231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10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10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10">
      <alignment wrapText="1"/>
    </xf>
    <xf numFmtId="0" fontId="77" fillId="26" borderId="210">
      <alignment wrapText="1"/>
    </xf>
    <xf numFmtId="0" fontId="77" fillId="26" borderId="210">
      <alignment wrapText="1"/>
    </xf>
    <xf numFmtId="0" fontId="77" fillId="26" borderId="210">
      <alignment wrapText="1"/>
    </xf>
    <xf numFmtId="0" fontId="77" fillId="26" borderId="210">
      <alignment wrapText="1"/>
    </xf>
    <xf numFmtId="0" fontId="77" fillId="26" borderId="210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1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1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11">
      <alignment wrapText="1"/>
    </xf>
    <xf numFmtId="0" fontId="77" fillId="26" borderId="211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11">
      <alignment wrapText="1"/>
    </xf>
    <xf numFmtId="0" fontId="77" fillId="26" borderId="21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1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1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11">
      <alignment wrapText="1"/>
    </xf>
    <xf numFmtId="0" fontId="77" fillId="26" borderId="211">
      <alignment wrapText="1"/>
    </xf>
    <xf numFmtId="0" fontId="77" fillId="26" borderId="211">
      <alignment wrapText="1"/>
    </xf>
    <xf numFmtId="0" fontId="77" fillId="26" borderId="211">
      <alignment wrapText="1"/>
    </xf>
    <xf numFmtId="0" fontId="77" fillId="26" borderId="211">
      <alignment wrapText="1"/>
    </xf>
    <xf numFmtId="0" fontId="77" fillId="26" borderId="211">
      <alignment wrapText="1"/>
    </xf>
    <xf numFmtId="0" fontId="77" fillId="26" borderId="226">
      <alignment wrapText="1"/>
    </xf>
    <xf numFmtId="0" fontId="77" fillId="26" borderId="218">
      <alignment wrapText="1"/>
    </xf>
    <xf numFmtId="0" fontId="77" fillId="26" borderId="220">
      <alignment wrapText="1"/>
    </xf>
    <xf numFmtId="0" fontId="77" fillId="26" borderId="228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17">
      <alignment wrapText="1"/>
    </xf>
    <xf numFmtId="0" fontId="77" fillId="26" borderId="256">
      <alignment wrapText="1"/>
    </xf>
    <xf numFmtId="0" fontId="77" fillId="26" borderId="218">
      <alignment wrapText="1"/>
    </xf>
    <xf numFmtId="0" fontId="77" fillId="26" borderId="227">
      <alignment wrapText="1"/>
    </xf>
    <xf numFmtId="0" fontId="77" fillId="26" borderId="213">
      <alignment wrapText="1"/>
    </xf>
    <xf numFmtId="0" fontId="77" fillId="26" borderId="218">
      <alignment wrapText="1"/>
    </xf>
    <xf numFmtId="0" fontId="77" fillId="26" borderId="246">
      <alignment wrapText="1"/>
    </xf>
    <xf numFmtId="0" fontId="77" fillId="26" borderId="226">
      <alignment wrapText="1"/>
    </xf>
    <xf numFmtId="0" fontId="77" fillId="26" borderId="227">
      <alignment wrapText="1"/>
    </xf>
    <xf numFmtId="0" fontId="77" fillId="26" borderId="246">
      <alignment wrapText="1"/>
    </xf>
    <xf numFmtId="0" fontId="77" fillId="26" borderId="226">
      <alignment wrapText="1"/>
    </xf>
    <xf numFmtId="0" fontId="77" fillId="26" borderId="218">
      <alignment wrapText="1"/>
    </xf>
    <xf numFmtId="0" fontId="77" fillId="26" borderId="231">
      <alignment wrapText="1"/>
    </xf>
    <xf numFmtId="0" fontId="77" fillId="26" borderId="222">
      <alignment wrapText="1"/>
    </xf>
    <xf numFmtId="0" fontId="77" fillId="26" borderId="225">
      <alignment wrapText="1"/>
    </xf>
    <xf numFmtId="0" fontId="77" fillId="26" borderId="244">
      <alignment wrapText="1"/>
    </xf>
    <xf numFmtId="0" fontId="77" fillId="26" borderId="251">
      <alignment wrapText="1"/>
    </xf>
    <xf numFmtId="0" fontId="77" fillId="26" borderId="222">
      <alignment wrapText="1"/>
    </xf>
    <xf numFmtId="0" fontId="77" fillId="26" borderId="225">
      <alignment wrapText="1"/>
    </xf>
    <xf numFmtId="0" fontId="77" fillId="26" borderId="225">
      <alignment wrapText="1"/>
    </xf>
    <xf numFmtId="0" fontId="77" fillId="26" borderId="225">
      <alignment wrapText="1"/>
    </xf>
    <xf numFmtId="0" fontId="77" fillId="26" borderId="209">
      <alignment wrapText="1"/>
    </xf>
    <xf numFmtId="0" fontId="77" fillId="26" borderId="231">
      <alignment wrapText="1"/>
    </xf>
    <xf numFmtId="0" fontId="77" fillId="26" borderId="265">
      <alignment wrapText="1"/>
    </xf>
    <xf numFmtId="0" fontId="77" fillId="26" borderId="249">
      <alignment wrapText="1"/>
    </xf>
    <xf numFmtId="0" fontId="77" fillId="26" borderId="217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13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27">
      <alignment wrapText="1"/>
    </xf>
    <xf numFmtId="0" fontId="77" fillId="26" borderId="209">
      <alignment wrapText="1"/>
    </xf>
    <xf numFmtId="0" fontId="77" fillId="26" borderId="221">
      <alignment wrapText="1"/>
    </xf>
    <xf numFmtId="0" fontId="77" fillId="26" borderId="226">
      <alignment wrapText="1"/>
    </xf>
    <xf numFmtId="0" fontId="77" fillId="26" borderId="227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28">
      <alignment wrapText="1"/>
    </xf>
    <xf numFmtId="0" fontId="77" fillId="26" borderId="213">
      <alignment wrapText="1"/>
    </xf>
    <xf numFmtId="0" fontId="77" fillId="26" borderId="225">
      <alignment wrapText="1"/>
    </xf>
    <xf numFmtId="0" fontId="77" fillId="26" borderId="213">
      <alignment wrapText="1"/>
    </xf>
    <xf numFmtId="0" fontId="77" fillId="26" borderId="213">
      <alignment wrapText="1"/>
    </xf>
    <xf numFmtId="0" fontId="77" fillId="26" borderId="213">
      <alignment wrapText="1"/>
    </xf>
    <xf numFmtId="0" fontId="77" fillId="26" borderId="213">
      <alignment wrapText="1"/>
    </xf>
    <xf numFmtId="0" fontId="77" fillId="26" borderId="213">
      <alignment wrapText="1"/>
    </xf>
    <xf numFmtId="0" fontId="77" fillId="26" borderId="213">
      <alignment wrapText="1"/>
    </xf>
    <xf numFmtId="0" fontId="77" fillId="26" borderId="212">
      <alignment wrapText="1"/>
    </xf>
    <xf numFmtId="0" fontId="77" fillId="26" borderId="247">
      <alignment wrapText="1"/>
    </xf>
    <xf numFmtId="0" fontId="77" fillId="26" borderId="253">
      <alignment wrapText="1"/>
    </xf>
    <xf numFmtId="0" fontId="77" fillId="26" borderId="219">
      <alignment wrapText="1"/>
    </xf>
    <xf numFmtId="0" fontId="77" fillId="26" borderId="251">
      <alignment wrapText="1"/>
    </xf>
    <xf numFmtId="0" fontId="77" fillId="26" borderId="227">
      <alignment wrapText="1"/>
    </xf>
    <xf numFmtId="0" fontId="77" fillId="26" borderId="221">
      <alignment wrapText="1"/>
    </xf>
    <xf numFmtId="0" fontId="77" fillId="26" borderId="228">
      <alignment wrapText="1"/>
    </xf>
    <xf numFmtId="0" fontId="77" fillId="26" borderId="236">
      <alignment wrapText="1"/>
    </xf>
    <xf numFmtId="0" fontId="77" fillId="26" borderId="212">
      <alignment wrapText="1"/>
    </xf>
    <xf numFmtId="0" fontId="77" fillId="26" borderId="228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37">
      <alignment wrapText="1"/>
    </xf>
    <xf numFmtId="0" fontId="77" fillId="26" borderId="225">
      <alignment wrapText="1"/>
    </xf>
    <xf numFmtId="0" fontId="77" fillId="26" borderId="249">
      <alignment wrapText="1"/>
    </xf>
    <xf numFmtId="0" fontId="77" fillId="26" borderId="212">
      <alignment wrapText="1"/>
    </xf>
    <xf numFmtId="0" fontId="77" fillId="26" borderId="221">
      <alignment wrapText="1"/>
    </xf>
    <xf numFmtId="0" fontId="77" fillId="26" borderId="225">
      <alignment wrapText="1"/>
    </xf>
    <xf numFmtId="0" fontId="77" fillId="26" borderId="221">
      <alignment wrapText="1"/>
    </xf>
    <xf numFmtId="0" fontId="77" fillId="26" borderId="232">
      <alignment wrapText="1"/>
    </xf>
    <xf numFmtId="0" fontId="77" fillId="26" borderId="221">
      <alignment wrapText="1"/>
    </xf>
    <xf numFmtId="0" fontId="77" fillId="26" borderId="212">
      <alignment wrapText="1"/>
    </xf>
    <xf numFmtId="0" fontId="77" fillId="26" borderId="231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42">
      <alignment wrapText="1"/>
    </xf>
    <xf numFmtId="0" fontId="77" fillId="26" borderId="230">
      <alignment wrapText="1"/>
    </xf>
    <xf numFmtId="0" fontId="77" fillId="26" borderId="227">
      <alignment wrapText="1"/>
    </xf>
    <xf numFmtId="0" fontId="77" fillId="26" borderId="231">
      <alignment wrapText="1"/>
    </xf>
    <xf numFmtId="0" fontId="77" fillId="26" borderId="218">
      <alignment wrapText="1"/>
    </xf>
    <xf numFmtId="0" fontId="77" fillId="26" borderId="222">
      <alignment wrapText="1"/>
    </xf>
    <xf numFmtId="0" fontId="77" fillId="26" borderId="218">
      <alignment wrapText="1"/>
    </xf>
    <xf numFmtId="0" fontId="77" fillId="26" borderId="218">
      <alignment wrapText="1"/>
    </xf>
    <xf numFmtId="0" fontId="77" fillId="26" borderId="218">
      <alignment wrapText="1"/>
    </xf>
    <xf numFmtId="0" fontId="77" fillId="26" borderId="218">
      <alignment wrapText="1"/>
    </xf>
    <xf numFmtId="0" fontId="77" fillId="26" borderId="218">
      <alignment wrapText="1"/>
    </xf>
    <xf numFmtId="0" fontId="77" fillId="26" borderId="218">
      <alignment wrapText="1"/>
    </xf>
    <xf numFmtId="0" fontId="77" fillId="26" borderId="225">
      <alignment wrapText="1"/>
    </xf>
    <xf numFmtId="0" fontId="77" fillId="26" borderId="259">
      <alignment wrapText="1"/>
    </xf>
    <xf numFmtId="0" fontId="77" fillId="26" borderId="237">
      <alignment wrapText="1"/>
    </xf>
    <xf numFmtId="0" fontId="77" fillId="26" borderId="226">
      <alignment wrapText="1"/>
    </xf>
    <xf numFmtId="0" fontId="77" fillId="26" borderId="225">
      <alignment wrapText="1"/>
    </xf>
    <xf numFmtId="0" fontId="77" fillId="26" borderId="231">
      <alignment wrapText="1"/>
    </xf>
    <xf numFmtId="0" fontId="77" fillId="26" borderId="247">
      <alignment wrapText="1"/>
    </xf>
    <xf numFmtId="0" fontId="77" fillId="26" borderId="227">
      <alignment wrapText="1"/>
    </xf>
    <xf numFmtId="0" fontId="77" fillId="26" borderId="225">
      <alignment wrapText="1"/>
    </xf>
    <xf numFmtId="0" fontId="77" fillId="26" borderId="223">
      <alignment wrapText="1"/>
    </xf>
    <xf numFmtId="0" fontId="77" fillId="26" borderId="227">
      <alignment wrapText="1"/>
    </xf>
    <xf numFmtId="0" fontId="77" fillId="26" borderId="222">
      <alignment wrapText="1"/>
    </xf>
    <xf numFmtId="0" fontId="77" fillId="26" borderId="222">
      <alignment wrapText="1"/>
    </xf>
    <xf numFmtId="0" fontId="77" fillId="26" borderId="247">
      <alignment wrapText="1"/>
    </xf>
    <xf numFmtId="0" fontId="77" fillId="26" borderId="244">
      <alignment wrapText="1"/>
    </xf>
    <xf numFmtId="0" fontId="77" fillId="26" borderId="237">
      <alignment wrapText="1"/>
    </xf>
    <xf numFmtId="0" fontId="77" fillId="26" borderId="231">
      <alignment wrapText="1"/>
    </xf>
    <xf numFmtId="0" fontId="77" fillId="26" borderId="226">
      <alignment wrapText="1"/>
    </xf>
    <xf numFmtId="0" fontId="77" fillId="26" borderId="231">
      <alignment wrapText="1"/>
    </xf>
    <xf numFmtId="0" fontId="77" fillId="26" borderId="237">
      <alignment wrapText="1"/>
    </xf>
    <xf numFmtId="0" fontId="77" fillId="26" borderId="226">
      <alignment wrapText="1"/>
    </xf>
    <xf numFmtId="0" fontId="77" fillId="26" borderId="226">
      <alignment wrapText="1"/>
    </xf>
    <xf numFmtId="0" fontId="77" fillId="26" borderId="226">
      <alignment wrapText="1"/>
    </xf>
    <xf numFmtId="0" fontId="77" fillId="26" borderId="226">
      <alignment wrapText="1"/>
    </xf>
    <xf numFmtId="0" fontId="77" fillId="26" borderId="226">
      <alignment wrapText="1"/>
    </xf>
    <xf numFmtId="0" fontId="77" fillId="26" borderId="226">
      <alignment wrapText="1"/>
    </xf>
    <xf numFmtId="0" fontId="77" fillId="26" borderId="247">
      <alignment wrapText="1"/>
    </xf>
    <xf numFmtId="0" fontId="77" fillId="26" borderId="246">
      <alignment wrapText="1"/>
    </xf>
    <xf numFmtId="0" fontId="77" fillId="26" borderId="228">
      <alignment wrapText="1"/>
    </xf>
    <xf numFmtId="0" fontId="77" fillId="26" borderId="237">
      <alignment wrapText="1"/>
    </xf>
    <xf numFmtId="0" fontId="77" fillId="26" borderId="249">
      <alignment wrapText="1"/>
    </xf>
    <xf numFmtId="0" fontId="77" fillId="26" borderId="228">
      <alignment wrapText="1"/>
    </xf>
    <xf numFmtId="0" fontId="77" fillId="26" borderId="228">
      <alignment wrapText="1"/>
    </xf>
    <xf numFmtId="0" fontId="77" fillId="26" borderId="228">
      <alignment wrapText="1"/>
    </xf>
    <xf numFmtId="0" fontId="77" fillId="26" borderId="228">
      <alignment wrapText="1"/>
    </xf>
    <xf numFmtId="0" fontId="77" fillId="26" borderId="228">
      <alignment wrapText="1"/>
    </xf>
    <xf numFmtId="0" fontId="77" fillId="26" borderId="228">
      <alignment wrapText="1"/>
    </xf>
    <xf numFmtId="0" fontId="77" fillId="26" borderId="24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46">
      <alignment wrapText="1"/>
    </xf>
    <xf numFmtId="0" fontId="77" fillId="26" borderId="237">
      <alignment wrapText="1"/>
    </xf>
    <xf numFmtId="0" fontId="77" fillId="26" borderId="242">
      <alignment wrapText="1"/>
    </xf>
    <xf numFmtId="0" fontId="77" fillId="26" borderId="247">
      <alignment wrapText="1"/>
    </xf>
    <xf numFmtId="0" fontId="77" fillId="26" borderId="248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9">
      <alignment wrapText="1"/>
    </xf>
    <xf numFmtId="0" fontId="77" fillId="26" borderId="237">
      <alignment wrapText="1"/>
    </xf>
    <xf numFmtId="0" fontId="77" fillId="26" borderId="242">
      <alignment wrapText="1"/>
    </xf>
    <xf numFmtId="0" fontId="77" fillId="26" borderId="241">
      <alignment wrapText="1"/>
    </xf>
    <xf numFmtId="0" fontId="77" fillId="26" borderId="247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42">
      <alignment wrapText="1"/>
    </xf>
    <xf numFmtId="0" fontId="77" fillId="26" borderId="244">
      <alignment wrapText="1"/>
    </xf>
    <xf numFmtId="0" fontId="77" fillId="26" borderId="244">
      <alignment wrapText="1"/>
    </xf>
    <xf numFmtId="0" fontId="77" fillId="26" borderId="238">
      <alignment wrapText="1"/>
    </xf>
    <xf numFmtId="0" fontId="77" fillId="26" borderId="247">
      <alignment wrapText="1"/>
    </xf>
    <xf numFmtId="0" fontId="77" fillId="26" borderId="238">
      <alignment wrapText="1"/>
    </xf>
    <xf numFmtId="0" fontId="77" fillId="26" borderId="242">
      <alignment wrapText="1"/>
    </xf>
    <xf numFmtId="0" fontId="77" fillId="26" borderId="234">
      <alignment wrapText="1"/>
    </xf>
    <xf numFmtId="0" fontId="77" fillId="26" borderId="243">
      <alignment wrapText="1"/>
    </xf>
    <xf numFmtId="0" fontId="77" fillId="26" borderId="251">
      <alignment wrapText="1"/>
    </xf>
    <xf numFmtId="0" fontId="77" fillId="26" borderId="246">
      <alignment wrapText="1"/>
    </xf>
    <xf numFmtId="0" fontId="77" fillId="26" borderId="246">
      <alignment wrapText="1"/>
    </xf>
    <xf numFmtId="0" fontId="77" fillId="26" borderId="248">
      <alignment wrapText="1"/>
    </xf>
    <xf numFmtId="0" fontId="77" fillId="26" borderId="234">
      <alignment wrapText="1"/>
    </xf>
    <xf numFmtId="0" fontId="77" fillId="26" borderId="243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49">
      <alignment wrapText="1"/>
    </xf>
    <xf numFmtId="0" fontId="77" fillId="26" borderId="235">
      <alignment wrapText="1"/>
    </xf>
    <xf numFmtId="0" fontId="77" fillId="26" borderId="243">
      <alignment wrapText="1"/>
    </xf>
    <xf numFmtId="0" fontId="77" fillId="26" borderId="254">
      <alignment wrapText="1"/>
    </xf>
    <xf numFmtId="0" fontId="77" fillId="26" borderId="253">
      <alignment wrapText="1"/>
    </xf>
    <xf numFmtId="0" fontId="77" fillId="26" borderId="265">
      <alignment wrapText="1"/>
    </xf>
    <xf numFmtId="0" fontId="77" fillId="26" borderId="250">
      <alignment wrapText="1"/>
    </xf>
    <xf numFmtId="0" fontId="77" fillId="26" borderId="235">
      <alignment wrapText="1"/>
    </xf>
    <xf numFmtId="0" fontId="77" fillId="26" borderId="246">
      <alignment wrapText="1"/>
    </xf>
    <xf numFmtId="0" fontId="77" fillId="26" borderId="243">
      <alignment wrapText="1"/>
    </xf>
    <xf numFmtId="0" fontId="77" fillId="26" borderId="265">
      <alignment wrapText="1"/>
    </xf>
    <xf numFmtId="0" fontId="77" fillId="26" borderId="243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49">
      <alignment wrapText="1"/>
    </xf>
    <xf numFmtId="0" fontId="77" fillId="26" borderId="246">
      <alignment wrapText="1"/>
    </xf>
    <xf numFmtId="0" fontId="77" fillId="26" borderId="246">
      <alignment wrapText="1"/>
    </xf>
    <xf numFmtId="0" fontId="77" fillId="26" borderId="235">
      <alignment wrapText="1"/>
    </xf>
    <xf numFmtId="0" fontId="77" fillId="26" borderId="256">
      <alignment wrapText="1"/>
    </xf>
    <xf numFmtId="0" fontId="77" fillId="26" borderId="243">
      <alignment wrapText="1"/>
    </xf>
    <xf numFmtId="0" fontId="77" fillId="26" borderId="242">
      <alignment wrapText="1"/>
    </xf>
    <xf numFmtId="0" fontId="77" fillId="26" borderId="235">
      <alignment wrapText="1"/>
    </xf>
    <xf numFmtId="0" fontId="77" fillId="26" borderId="254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8">
      <alignment wrapText="1"/>
    </xf>
    <xf numFmtId="0" fontId="77" fillId="26" borderId="260">
      <alignment wrapText="1"/>
    </xf>
    <xf numFmtId="0" fontId="77" fillId="26" borderId="254">
      <alignment wrapText="1"/>
    </xf>
    <xf numFmtId="0" fontId="77" fillId="26" borderId="242">
      <alignment wrapText="1"/>
    </xf>
    <xf numFmtId="0" fontId="77" fillId="26" borderId="260">
      <alignment wrapText="1"/>
    </xf>
    <xf numFmtId="0" fontId="77" fillId="26" borderId="242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56">
      <alignment wrapText="1"/>
    </xf>
    <xf numFmtId="0" fontId="77" fillId="26" borderId="240">
      <alignment wrapText="1"/>
    </xf>
    <xf numFmtId="0" fontId="77" fillId="26" borderId="251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0">
      <alignment wrapText="1"/>
    </xf>
    <xf numFmtId="0" fontId="77" fillId="26" borderId="246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4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4">
      <alignment wrapText="1"/>
    </xf>
    <xf numFmtId="0" fontId="77" fillId="26" borderId="240">
      <alignment wrapText="1"/>
    </xf>
    <xf numFmtId="0" fontId="77" fillId="26" borderId="244">
      <alignment wrapText="1"/>
    </xf>
    <xf numFmtId="0" fontId="77" fillId="26" borderId="254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4">
      <alignment wrapText="1"/>
    </xf>
    <xf numFmtId="0" fontId="77" fillId="26" borderId="261">
      <alignment wrapText="1"/>
    </xf>
    <xf numFmtId="0" fontId="77" fillId="26" borderId="240">
      <alignment wrapText="1"/>
    </xf>
    <xf numFmtId="0" fontId="77" fillId="26" borderId="256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6">
      <alignment wrapText="1"/>
    </xf>
    <xf numFmtId="0" fontId="77" fillId="26" borderId="243">
      <alignment wrapText="1"/>
    </xf>
    <xf numFmtId="0" fontId="77" fillId="26" borderId="262">
      <alignment wrapText="1"/>
    </xf>
    <xf numFmtId="0" fontId="77" fillId="26" borderId="243">
      <alignment wrapText="1"/>
    </xf>
    <xf numFmtId="0" fontId="77" fillId="26" borderId="243">
      <alignment wrapText="1"/>
    </xf>
    <xf numFmtId="0" fontId="77" fillId="26" borderId="243">
      <alignment wrapText="1"/>
    </xf>
    <xf numFmtId="0" fontId="77" fillId="26" borderId="243">
      <alignment wrapText="1"/>
    </xf>
    <xf numFmtId="0" fontId="77" fillId="26" borderId="243">
      <alignment wrapText="1"/>
    </xf>
    <xf numFmtId="0" fontId="77" fillId="26" borderId="243">
      <alignment wrapText="1"/>
    </xf>
    <xf numFmtId="0" fontId="77" fillId="26" borderId="244">
      <alignment wrapText="1"/>
    </xf>
    <xf numFmtId="0" fontId="77" fillId="26" borderId="244">
      <alignment wrapText="1"/>
    </xf>
    <xf numFmtId="0" fontId="77" fillId="26" borderId="244">
      <alignment wrapText="1"/>
    </xf>
    <xf numFmtId="0" fontId="77" fillId="26" borderId="244">
      <alignment wrapText="1"/>
    </xf>
    <xf numFmtId="0" fontId="77" fillId="26" borderId="245">
      <alignment wrapText="1"/>
    </xf>
    <xf numFmtId="0" fontId="77" fillId="26" borderId="260">
      <alignment wrapText="1"/>
    </xf>
    <xf numFmtId="0" fontId="77" fillId="26" borderId="245">
      <alignment wrapText="1"/>
    </xf>
    <xf numFmtId="0" fontId="77" fillId="26" borderId="260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54">
      <alignment wrapText="1"/>
    </xf>
    <xf numFmtId="0" fontId="77" fillId="26" borderId="245">
      <alignment wrapText="1"/>
    </xf>
    <xf numFmtId="0" fontId="77" fillId="26" borderId="258">
      <alignment wrapText="1"/>
    </xf>
    <xf numFmtId="0" fontId="77" fillId="26" borderId="256">
      <alignment wrapText="1"/>
    </xf>
    <xf numFmtId="0" fontId="77" fillId="26" borderId="246">
      <alignment wrapText="1"/>
    </xf>
    <xf numFmtId="0" fontId="77" fillId="26" borderId="245">
      <alignment wrapText="1"/>
    </xf>
    <xf numFmtId="0" fontId="77" fillId="26" borderId="264">
      <alignment wrapText="1"/>
    </xf>
    <xf numFmtId="0" fontId="77" fillId="26" borderId="26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56">
      <alignment wrapText="1"/>
    </xf>
    <xf numFmtId="0" fontId="77" fillId="26" borderId="248">
      <alignment wrapText="1"/>
    </xf>
    <xf numFmtId="0" fontId="77" fillId="26" borderId="248">
      <alignment wrapText="1"/>
    </xf>
    <xf numFmtId="0" fontId="77" fillId="26" borderId="247">
      <alignment wrapText="1"/>
    </xf>
    <xf numFmtId="0" fontId="77" fillId="26" borderId="248">
      <alignment wrapText="1"/>
    </xf>
    <xf numFmtId="0" fontId="77" fillId="26" borderId="247">
      <alignment wrapText="1"/>
    </xf>
    <xf numFmtId="0" fontId="77" fillId="26" borderId="247">
      <alignment wrapText="1"/>
    </xf>
    <xf numFmtId="0" fontId="77" fillId="26" borderId="247">
      <alignment wrapText="1"/>
    </xf>
    <xf numFmtId="0" fontId="77" fillId="26" borderId="247">
      <alignment wrapText="1"/>
    </xf>
    <xf numFmtId="0" fontId="77" fillId="26" borderId="247">
      <alignment wrapText="1"/>
    </xf>
    <xf numFmtId="0" fontId="77" fillId="26" borderId="247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54">
      <alignment wrapText="1"/>
    </xf>
    <xf numFmtId="0" fontId="77" fillId="26" borderId="248">
      <alignment wrapText="1"/>
    </xf>
    <xf numFmtId="0" fontId="77" fillId="26" borderId="251">
      <alignment wrapText="1"/>
    </xf>
    <xf numFmtId="0" fontId="77" fillId="26" borderId="241">
      <alignment wrapText="1"/>
    </xf>
    <xf numFmtId="0" fontId="77" fillId="26" borderId="248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2">
      <alignment wrapText="1"/>
    </xf>
    <xf numFmtId="0" fontId="77" fillId="26" borderId="263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8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4">
      <alignment wrapText="1"/>
    </xf>
    <xf numFmtId="0" fontId="77" fillId="26" borderId="255">
      <alignment wrapText="1"/>
    </xf>
    <xf numFmtId="0" fontId="77" fillId="26" borderId="260">
      <alignment wrapText="1"/>
    </xf>
    <xf numFmtId="0" fontId="77" fillId="26" borderId="248">
      <alignment wrapText="1"/>
    </xf>
    <xf numFmtId="0" fontId="77" fillId="26" borderId="255">
      <alignment wrapText="1"/>
    </xf>
    <xf numFmtId="0" fontId="77" fillId="26" borderId="257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8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48">
      <alignment wrapText="1"/>
    </xf>
    <xf numFmtId="0" fontId="77" fillId="26" borderId="265">
      <alignment wrapText="1"/>
    </xf>
    <xf numFmtId="0" fontId="77" fillId="26" borderId="248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48">
      <alignment wrapText="1"/>
    </xf>
    <xf numFmtId="0" fontId="77" fillId="26" borderId="248">
      <alignment wrapText="1"/>
    </xf>
    <xf numFmtId="0" fontId="77" fillId="26" borderId="265">
      <alignment wrapText="1"/>
    </xf>
    <xf numFmtId="0" fontId="77" fillId="26" borderId="248">
      <alignment wrapText="1"/>
    </xf>
    <xf numFmtId="0" fontId="77" fillId="26" borderId="256">
      <alignment wrapText="1"/>
    </xf>
    <xf numFmtId="0" fontId="77" fillId="26" borderId="261">
      <alignment wrapText="1"/>
    </xf>
    <xf numFmtId="0" fontId="77" fillId="26" borderId="256">
      <alignment wrapText="1"/>
    </xf>
    <xf numFmtId="0" fontId="77" fillId="26" borderId="256">
      <alignment wrapText="1"/>
    </xf>
    <xf numFmtId="0" fontId="77" fillId="26" borderId="256">
      <alignment wrapText="1"/>
    </xf>
    <xf numFmtId="0" fontId="77" fillId="26" borderId="256">
      <alignment wrapText="1"/>
    </xf>
    <xf numFmtId="0" fontId="77" fillId="26" borderId="256">
      <alignment wrapText="1"/>
    </xf>
    <xf numFmtId="0" fontId="77" fillId="26" borderId="256">
      <alignment wrapText="1"/>
    </xf>
    <xf numFmtId="0" fontId="77" fillId="26" borderId="265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73">
      <alignment wrapText="1"/>
    </xf>
    <xf numFmtId="43" fontId="9" fillId="0" borderId="0" applyFont="0" applyFill="0" applyBorder="0" applyAlignment="0" applyProtection="0"/>
    <xf numFmtId="0" fontId="77" fillId="26" borderId="270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158">
      <alignment wrapText="1"/>
    </xf>
    <xf numFmtId="0" fontId="77" fillId="26" borderId="269">
      <alignment wrapText="1"/>
    </xf>
    <xf numFmtId="43" fontId="9" fillId="0" borderId="0" applyFont="0" applyFill="0" applyBorder="0" applyAlignment="0" applyProtection="0"/>
    <xf numFmtId="0" fontId="77" fillId="26" borderId="158">
      <alignment wrapText="1"/>
    </xf>
    <xf numFmtId="0" fontId="77" fillId="26" borderId="15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7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1">
      <alignment wrapText="1"/>
    </xf>
    <xf numFmtId="0" fontId="77" fillId="26" borderId="271">
      <alignment wrapText="1"/>
    </xf>
    <xf numFmtId="0" fontId="77" fillId="26" borderId="271">
      <alignment wrapText="1"/>
    </xf>
    <xf numFmtId="0" fontId="77" fillId="26" borderId="271">
      <alignment wrapText="1"/>
    </xf>
    <xf numFmtId="0" fontId="77" fillId="26" borderId="271">
      <alignment wrapText="1"/>
    </xf>
    <xf numFmtId="0" fontId="77" fillId="26" borderId="271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49" fontId="9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77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9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</cellStyleXfs>
  <cellXfs count="902">
    <xf numFmtId="0" fontId="0" fillId="0" borderId="0" xfId="0"/>
    <xf numFmtId="2" fontId="0" fillId="0" borderId="0" xfId="0" applyNumberFormat="1"/>
    <xf numFmtId="0" fontId="0" fillId="0" borderId="0" xfId="0" applyAlignment="1"/>
    <xf numFmtId="0" fontId="10" fillId="0" borderId="0" xfId="0" applyFont="1" applyAlignment="1" applyProtection="1">
      <alignment horizontal="left" vertical="top"/>
    </xf>
    <xf numFmtId="0" fontId="0" fillId="0" borderId="0" xfId="0"/>
    <xf numFmtId="0" fontId="10" fillId="0" borderId="0" xfId="0" applyFont="1" applyProtection="1">
      <protection locked="0"/>
    </xf>
    <xf numFmtId="0" fontId="12" fillId="3" borderId="13" xfId="1" applyFont="1" applyFill="1" applyBorder="1" applyAlignment="1" applyProtection="1">
      <alignment vertical="center"/>
      <protection locked="0"/>
    </xf>
    <xf numFmtId="0" fontId="11" fillId="3" borderId="0" xfId="1" applyFont="1" applyFill="1" applyBorder="1" applyAlignment="1" applyProtection="1">
      <alignment vertical="center"/>
      <protection locked="0"/>
    </xf>
    <xf numFmtId="0" fontId="12" fillId="3" borderId="15" xfId="1" applyFont="1" applyFill="1" applyBorder="1" applyAlignment="1" applyProtection="1">
      <alignment vertical="center"/>
      <protection locked="0"/>
    </xf>
    <xf numFmtId="0" fontId="11" fillId="3" borderId="16" xfId="1" applyFont="1" applyFill="1" applyBorder="1" applyAlignment="1" applyProtection="1">
      <alignment vertical="center"/>
      <protection locked="0"/>
    </xf>
    <xf numFmtId="0" fontId="5" fillId="4" borderId="4" xfId="28" applyFont="1" applyFill="1" applyBorder="1" applyAlignment="1" applyProtection="1">
      <alignment horizontal="center" vertical="center"/>
      <protection locked="0"/>
    </xf>
    <xf numFmtId="0" fontId="5" fillId="4" borderId="4" xfId="28" applyFont="1" applyFill="1" applyBorder="1" applyAlignment="1" applyProtection="1">
      <alignment horizontal="center" vertical="center" wrapText="1"/>
      <protection locked="0"/>
    </xf>
    <xf numFmtId="49" fontId="2" fillId="4" borderId="18" xfId="29" applyNumberFormat="1" applyFont="1" applyFill="1" applyBorder="1" applyAlignment="1" applyProtection="1">
      <alignment vertical="center"/>
      <protection locked="0"/>
    </xf>
    <xf numFmtId="49" fontId="2" fillId="3" borderId="9" xfId="29" applyNumberFormat="1" applyFont="1" applyFill="1" applyBorder="1" applyAlignment="1" applyProtection="1">
      <alignment vertical="center"/>
      <protection locked="0"/>
    </xf>
    <xf numFmtId="165" fontId="11" fillId="0" borderId="6" xfId="25" applyFont="1" applyFill="1" applyBorder="1" applyAlignment="1" applyProtection="1">
      <alignment vertical="center" wrapText="1"/>
      <protection locked="0"/>
    </xf>
    <xf numFmtId="49" fontId="2" fillId="4" borderId="3" xfId="29" applyNumberFormat="1" applyFont="1" applyFill="1" applyBorder="1" applyAlignment="1" applyProtection="1">
      <alignment vertical="center"/>
      <protection locked="0"/>
    </xf>
    <xf numFmtId="49" fontId="5" fillId="3" borderId="9" xfId="29" applyNumberFormat="1" applyFont="1" applyFill="1" applyBorder="1" applyAlignment="1" applyProtection="1">
      <alignment vertical="center"/>
      <protection locked="0"/>
    </xf>
    <xf numFmtId="49" fontId="5" fillId="5" borderId="9" xfId="29" applyNumberFormat="1" applyFont="1" applyFill="1" applyBorder="1" applyAlignment="1" applyProtection="1">
      <alignment vertical="center"/>
      <protection locked="0"/>
    </xf>
    <xf numFmtId="0" fontId="12" fillId="4" borderId="4" xfId="5" applyFont="1" applyFill="1" applyBorder="1" applyAlignment="1" applyProtection="1">
      <alignment horizontal="center" vertical="center"/>
      <protection locked="0"/>
    </xf>
    <xf numFmtId="0" fontId="12" fillId="4" borderId="4" xfId="5" applyFont="1" applyFill="1" applyBorder="1" applyAlignment="1" applyProtection="1">
      <alignment horizontal="center" vertical="center" wrapText="1"/>
      <protection locked="0"/>
    </xf>
    <xf numFmtId="43" fontId="12" fillId="4" borderId="4" xfId="26" applyFont="1" applyFill="1" applyBorder="1" applyAlignment="1" applyProtection="1">
      <alignment horizontal="center" vertical="center"/>
      <protection locked="0"/>
    </xf>
    <xf numFmtId="165" fontId="12" fillId="3" borderId="9" xfId="25" applyFont="1" applyFill="1" applyBorder="1" applyAlignment="1" applyProtection="1">
      <alignment vertical="center"/>
      <protection locked="0"/>
    </xf>
    <xf numFmtId="165" fontId="11" fillId="0" borderId="5" xfId="25" applyFont="1" applyFill="1" applyBorder="1" applyAlignment="1" applyProtection="1">
      <alignment vertical="center"/>
      <protection locked="0"/>
    </xf>
    <xf numFmtId="2" fontId="11" fillId="0" borderId="18" xfId="25" applyNumberFormat="1" applyFont="1" applyFill="1" applyBorder="1" applyAlignment="1" applyProtection="1">
      <alignment vertical="center" wrapText="1"/>
      <protection locked="0"/>
    </xf>
    <xf numFmtId="43" fontId="11" fillId="0" borderId="6" xfId="26" applyFont="1" applyBorder="1" applyProtection="1">
      <protection locked="0"/>
    </xf>
    <xf numFmtId="4" fontId="11" fillId="0" borderId="6" xfId="5" applyNumberFormat="1" applyFont="1" applyBorder="1" applyProtection="1">
      <protection locked="0"/>
    </xf>
    <xf numFmtId="164" fontId="11" fillId="0" borderId="6" xfId="27" applyFont="1" applyBorder="1" applyProtection="1">
      <protection locked="0"/>
    </xf>
    <xf numFmtId="164" fontId="10" fillId="0" borderId="2" xfId="27" applyFont="1" applyBorder="1" applyProtection="1">
      <protection locked="0"/>
    </xf>
    <xf numFmtId="164" fontId="10" fillId="0" borderId="0" xfId="0" applyNumberFormat="1" applyFont="1" applyProtection="1">
      <protection locked="0"/>
    </xf>
    <xf numFmtId="165" fontId="12" fillId="3" borderId="8" xfId="25" applyFont="1" applyFill="1" applyBorder="1" applyAlignment="1" applyProtection="1">
      <alignment vertical="center"/>
      <protection locked="0"/>
    </xf>
    <xf numFmtId="43" fontId="12" fillId="3" borderId="9" xfId="26" applyFont="1" applyFill="1" applyBorder="1" applyAlignment="1" applyProtection="1">
      <alignment vertical="center"/>
      <protection locked="0"/>
    </xf>
    <xf numFmtId="165" fontId="12" fillId="3" borderId="3" xfId="25" applyFont="1" applyFill="1" applyBorder="1" applyAlignment="1" applyProtection="1">
      <alignment vertical="center"/>
      <protection locked="0"/>
    </xf>
    <xf numFmtId="164" fontId="13" fillId="3" borderId="2" xfId="27" applyFont="1" applyFill="1" applyBorder="1" applyProtection="1">
      <protection locked="0"/>
    </xf>
    <xf numFmtId="165" fontId="11" fillId="0" borderId="1" xfId="25" applyFont="1" applyFill="1" applyBorder="1" applyAlignment="1" applyProtection="1">
      <alignment vertical="center"/>
      <protection locked="0"/>
    </xf>
    <xf numFmtId="9" fontId="13" fillId="3" borderId="2" xfId="30" applyFont="1" applyFill="1" applyBorder="1" applyProtection="1">
      <protection locked="0"/>
    </xf>
    <xf numFmtId="165" fontId="11" fillId="2" borderId="1" xfId="25" applyFont="1" applyFill="1" applyBorder="1" applyAlignment="1" applyProtection="1">
      <alignment vertical="center"/>
      <protection locked="0"/>
    </xf>
    <xf numFmtId="164" fontId="13" fillId="3" borderId="7" xfId="27" applyFont="1" applyFill="1" applyBorder="1" applyProtection="1">
      <protection locked="0"/>
    </xf>
    <xf numFmtId="43" fontId="10" fillId="0" borderId="0" xfId="26" applyFont="1" applyProtection="1">
      <protection locked="0"/>
    </xf>
    <xf numFmtId="0" fontId="19" fillId="6" borderId="21" xfId="0" applyFont="1" applyFill="1" applyBorder="1" applyAlignment="1" applyProtection="1">
      <alignment wrapText="1"/>
      <protection locked="0"/>
    </xf>
    <xf numFmtId="0" fontId="19" fillId="6" borderId="21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43" fontId="14" fillId="0" borderId="0" xfId="26" applyFont="1" applyBorder="1" applyAlignment="1" applyProtection="1">
      <alignment horizontal="left"/>
      <protection locked="0"/>
    </xf>
    <xf numFmtId="10" fontId="10" fillId="0" borderId="0" xfId="30" applyNumberFormat="1" applyFont="1" applyBorder="1" applyProtection="1">
      <protection locked="0"/>
    </xf>
    <xf numFmtId="0" fontId="10" fillId="7" borderId="0" xfId="0" applyFont="1" applyFill="1" applyBorder="1" applyProtection="1">
      <protection locked="0"/>
    </xf>
    <xf numFmtId="43" fontId="14" fillId="7" borderId="0" xfId="26" applyFont="1" applyFill="1" applyBorder="1" applyAlignment="1" applyProtection="1">
      <alignment horizontal="left"/>
      <protection locked="0"/>
    </xf>
    <xf numFmtId="10" fontId="10" fillId="7" borderId="0" xfId="30" applyNumberFormat="1" applyFont="1" applyFill="1" applyBorder="1" applyProtection="1">
      <protection locked="0"/>
    </xf>
    <xf numFmtId="164" fontId="13" fillId="0" borderId="0" xfId="0" applyNumberFormat="1" applyFont="1" applyProtection="1">
      <protection locked="0"/>
    </xf>
    <xf numFmtId="10" fontId="13" fillId="0" borderId="0" xfId="30" applyNumberFormat="1" applyFont="1" applyBorder="1" applyProtection="1">
      <protection locked="0"/>
    </xf>
    <xf numFmtId="0" fontId="22" fillId="0" borderId="0" xfId="31" applyFont="1" applyFill="1" applyAlignment="1">
      <alignment vertical="center"/>
    </xf>
    <xf numFmtId="2" fontId="11" fillId="0" borderId="18" xfId="25" applyNumberFormat="1" applyFont="1" applyFill="1" applyBorder="1" applyAlignment="1" applyProtection="1">
      <alignment horizontal="right" vertical="center" wrapText="1"/>
      <protection locked="0"/>
    </xf>
    <xf numFmtId="0" fontId="30" fillId="11" borderId="28" xfId="36" applyFont="1" applyFill="1" applyBorder="1" applyAlignment="1">
      <alignment horizontal="right" vertical="top" textRotation="180"/>
    </xf>
    <xf numFmtId="0" fontId="29" fillId="11" borderId="29" xfId="36" applyFont="1" applyFill="1" applyBorder="1" applyAlignment="1">
      <alignment horizontal="left" vertical="top" textRotation="180"/>
    </xf>
    <xf numFmtId="0" fontId="29" fillId="11" borderId="20" xfId="36" applyFont="1" applyFill="1" applyBorder="1" applyAlignment="1">
      <alignment horizontal="center" vertical="center"/>
    </xf>
    <xf numFmtId="0" fontId="28" fillId="0" borderId="0" xfId="37"/>
    <xf numFmtId="0" fontId="30" fillId="11" borderId="0" xfId="36" applyFont="1" applyFill="1" applyBorder="1" applyAlignment="1">
      <alignment horizontal="right" vertical="top" textRotation="180"/>
    </xf>
    <xf numFmtId="0" fontId="29" fillId="11" borderId="31" xfId="36" applyFont="1" applyFill="1" applyBorder="1" applyAlignment="1">
      <alignment horizontal="left" vertical="top" textRotation="180"/>
    </xf>
    <xf numFmtId="0" fontId="29" fillId="11" borderId="40" xfId="36" applyFont="1" applyFill="1" applyBorder="1" applyAlignment="1">
      <alignment horizontal="center" vertical="center"/>
    </xf>
    <xf numFmtId="0" fontId="29" fillId="11" borderId="41" xfId="36" applyFont="1" applyFill="1" applyBorder="1" applyAlignment="1">
      <alignment horizontal="center" vertical="center"/>
    </xf>
    <xf numFmtId="0" fontId="29" fillId="11" borderId="42" xfId="36" applyFont="1" applyFill="1" applyBorder="1" applyAlignment="1">
      <alignment horizontal="center" vertical="center" wrapText="1"/>
    </xf>
    <xf numFmtId="0" fontId="29" fillId="11" borderId="43" xfId="36" applyFont="1" applyFill="1" applyBorder="1" applyAlignment="1">
      <alignment horizontal="center" vertical="center" wrapText="1"/>
    </xf>
    <xf numFmtId="168" fontId="31" fillId="0" borderId="0" xfId="36" applyNumberFormat="1" applyFont="1"/>
    <xf numFmtId="10" fontId="33" fillId="11" borderId="46" xfId="38" applyNumberFormat="1" applyFont="1" applyFill="1" applyBorder="1" applyAlignment="1" applyProtection="1">
      <alignment horizontal="center" vertical="center"/>
    </xf>
    <xf numFmtId="168" fontId="33" fillId="11" borderId="47" xfId="36" applyNumberFormat="1" applyFont="1" applyFill="1" applyBorder="1" applyAlignment="1">
      <alignment vertical="center"/>
    </xf>
    <xf numFmtId="168" fontId="31" fillId="0" borderId="0" xfId="39" applyFont="1" applyFill="1" applyBorder="1" applyAlignment="1" applyProtection="1"/>
    <xf numFmtId="168" fontId="34" fillId="0" borderId="0" xfId="39" applyFont="1" applyFill="1" applyBorder="1" applyAlignment="1" applyProtection="1"/>
    <xf numFmtId="168" fontId="34" fillId="0" borderId="0" xfId="36" applyNumberFormat="1" applyFont="1"/>
    <xf numFmtId="10" fontId="35" fillId="0" borderId="0" xfId="36" applyNumberFormat="1" applyFont="1"/>
    <xf numFmtId="10" fontId="33" fillId="12" borderId="51" xfId="36" applyNumberFormat="1" applyFont="1" applyFill="1" applyBorder="1" applyAlignment="1">
      <alignment horizontal="left" vertical="center"/>
    </xf>
    <xf numFmtId="1" fontId="33" fillId="12" borderId="52" xfId="36" applyNumberFormat="1" applyFont="1" applyFill="1" applyBorder="1" applyAlignment="1">
      <alignment horizontal="center" vertical="center"/>
    </xf>
    <xf numFmtId="10" fontId="33" fillId="11" borderId="56" xfId="38" applyNumberFormat="1" applyFont="1" applyFill="1" applyBorder="1" applyAlignment="1" applyProtection="1">
      <alignment horizontal="center" vertical="center"/>
    </xf>
    <xf numFmtId="168" fontId="33" fillId="11" borderId="57" xfId="40" applyNumberFormat="1" applyFont="1" applyFill="1" applyBorder="1" applyAlignment="1">
      <alignment vertical="center"/>
    </xf>
    <xf numFmtId="168" fontId="33" fillId="11" borderId="58" xfId="40" applyNumberFormat="1" applyFont="1" applyFill="1" applyBorder="1" applyAlignment="1">
      <alignment vertical="center"/>
    </xf>
    <xf numFmtId="10" fontId="33" fillId="12" borderId="46" xfId="36" applyNumberFormat="1" applyFont="1" applyFill="1" applyBorder="1" applyAlignment="1">
      <alignment horizontal="left" vertical="center"/>
    </xf>
    <xf numFmtId="1" fontId="33" fillId="12" borderId="47" xfId="36" applyNumberFormat="1" applyFont="1" applyFill="1" applyBorder="1" applyAlignment="1">
      <alignment horizontal="center" vertical="center"/>
    </xf>
    <xf numFmtId="0" fontId="31" fillId="0" borderId="0" xfId="36" applyFont="1" applyFill="1"/>
    <xf numFmtId="10" fontId="33" fillId="0" borderId="56" xfId="38" applyNumberFormat="1" applyFont="1" applyFill="1" applyBorder="1" applyAlignment="1" applyProtection="1">
      <alignment horizontal="center" vertical="center"/>
    </xf>
    <xf numFmtId="168" fontId="33" fillId="11" borderId="60" xfId="36" applyNumberFormat="1" applyFont="1" applyFill="1" applyBorder="1" applyAlignment="1">
      <alignment vertical="center"/>
    </xf>
    <xf numFmtId="168" fontId="33" fillId="11" borderId="58" xfId="36" applyNumberFormat="1" applyFont="1" applyFill="1" applyBorder="1" applyAlignment="1">
      <alignment vertical="center"/>
    </xf>
    <xf numFmtId="1" fontId="33" fillId="12" borderId="53" xfId="36" applyNumberFormat="1" applyFont="1" applyFill="1" applyBorder="1" applyAlignment="1">
      <alignment horizontal="center" vertical="center"/>
    </xf>
    <xf numFmtId="1" fontId="33" fillId="12" borderId="54" xfId="36" applyNumberFormat="1" applyFont="1" applyFill="1" applyBorder="1" applyAlignment="1">
      <alignment horizontal="center" vertical="center"/>
    </xf>
    <xf numFmtId="168" fontId="33" fillId="0" borderId="57" xfId="40" applyNumberFormat="1" applyFont="1" applyFill="1" applyBorder="1" applyAlignment="1">
      <alignment vertical="center"/>
    </xf>
    <xf numFmtId="10" fontId="36" fillId="0" borderId="51" xfId="36" applyNumberFormat="1" applyFont="1" applyFill="1" applyBorder="1" applyAlignment="1">
      <alignment horizontal="left" vertical="center"/>
    </xf>
    <xf numFmtId="1" fontId="36" fillId="0" borderId="52" xfId="36" applyNumberFormat="1" applyFont="1" applyFill="1" applyBorder="1" applyAlignment="1">
      <alignment horizontal="center" vertical="center"/>
    </xf>
    <xf numFmtId="0" fontId="27" fillId="0" borderId="0" xfId="40" applyBorder="1"/>
    <xf numFmtId="0" fontId="27" fillId="0" borderId="31" xfId="40" applyBorder="1"/>
    <xf numFmtId="10" fontId="33" fillId="0" borderId="61" xfId="38" applyNumberFormat="1" applyFont="1" applyFill="1" applyBorder="1" applyAlignment="1" applyProtection="1">
      <alignment horizontal="center" vertical="center"/>
    </xf>
    <xf numFmtId="10" fontId="33" fillId="11" borderId="61" xfId="38" applyNumberFormat="1" applyFont="1" applyFill="1" applyBorder="1" applyAlignment="1" applyProtection="1">
      <alignment horizontal="center" vertical="center"/>
    </xf>
    <xf numFmtId="10" fontId="36" fillId="0" borderId="62" xfId="36" applyNumberFormat="1" applyFont="1" applyFill="1" applyBorder="1" applyAlignment="1">
      <alignment horizontal="left" vertical="center"/>
    </xf>
    <xf numFmtId="10" fontId="36" fillId="12" borderId="62" xfId="36" applyNumberFormat="1" applyFont="1" applyFill="1" applyBorder="1" applyAlignment="1">
      <alignment horizontal="left" vertical="center"/>
    </xf>
    <xf numFmtId="1" fontId="36" fillId="12" borderId="54" xfId="36" applyNumberFormat="1" applyFont="1" applyFill="1" applyBorder="1" applyAlignment="1">
      <alignment horizontal="center" vertical="center"/>
    </xf>
    <xf numFmtId="0" fontId="27" fillId="0" borderId="64" xfId="40" applyBorder="1"/>
    <xf numFmtId="0" fontId="27" fillId="0" borderId="65" xfId="40" applyBorder="1"/>
    <xf numFmtId="0" fontId="30" fillId="11" borderId="30" xfId="36" applyFont="1" applyFill="1" applyBorder="1" applyAlignment="1">
      <alignment horizontal="center" vertical="center" textRotation="180"/>
    </xf>
    <xf numFmtId="0" fontId="37" fillId="11" borderId="71" xfId="36" applyFont="1" applyFill="1" applyBorder="1" applyAlignment="1">
      <alignment horizontal="center" vertical="center" textRotation="180"/>
    </xf>
    <xf numFmtId="0" fontId="38" fillId="11" borderId="73" xfId="36" applyFont="1" applyFill="1" applyBorder="1" applyAlignment="1">
      <alignment horizontal="center"/>
    </xf>
    <xf numFmtId="0" fontId="38" fillId="11" borderId="46" xfId="36" applyFont="1" applyFill="1" applyBorder="1" applyAlignment="1">
      <alignment horizontal="center"/>
    </xf>
    <xf numFmtId="10" fontId="36" fillId="11" borderId="74" xfId="36" applyNumberFormat="1" applyFont="1" applyFill="1" applyBorder="1" applyAlignment="1">
      <alignment horizontal="left" vertical="top"/>
    </xf>
    <xf numFmtId="1" fontId="36" fillId="11" borderId="47" xfId="36" applyNumberFormat="1" applyFont="1" applyFill="1" applyBorder="1" applyAlignment="1">
      <alignment horizontal="center"/>
    </xf>
    <xf numFmtId="168" fontId="36" fillId="11" borderId="47" xfId="36" applyNumberFormat="1" applyFont="1" applyFill="1" applyBorder="1" applyAlignment="1">
      <alignment vertical="center"/>
    </xf>
    <xf numFmtId="168" fontId="36" fillId="11" borderId="48" xfId="36" applyNumberFormat="1" applyFont="1" applyFill="1" applyBorder="1" applyAlignment="1">
      <alignment vertical="center"/>
    </xf>
    <xf numFmtId="0" fontId="34" fillId="0" borderId="0" xfId="36" applyFont="1"/>
    <xf numFmtId="2" fontId="34" fillId="0" borderId="0" xfId="36" applyNumberFormat="1" applyFont="1"/>
    <xf numFmtId="1" fontId="36" fillId="11" borderId="48" xfId="36" applyNumberFormat="1" applyFont="1" applyFill="1" applyBorder="1" applyAlignment="1">
      <alignment horizontal="center"/>
    </xf>
    <xf numFmtId="0" fontId="38" fillId="11" borderId="76" xfId="36" applyFont="1" applyFill="1" applyBorder="1" applyAlignment="1">
      <alignment horizontal="center"/>
    </xf>
    <xf numFmtId="0" fontId="38" fillId="11" borderId="77" xfId="36" applyFont="1" applyFill="1" applyBorder="1" applyAlignment="1">
      <alignment horizontal="center"/>
    </xf>
    <xf numFmtId="10" fontId="36" fillId="11" borderId="78" xfId="36" applyNumberFormat="1" applyFont="1" applyFill="1" applyBorder="1" applyAlignment="1">
      <alignment horizontal="left" vertical="top"/>
    </xf>
    <xf numFmtId="1" fontId="36" fillId="11" borderId="79" xfId="36" applyNumberFormat="1" applyFont="1" applyFill="1" applyBorder="1" applyAlignment="1">
      <alignment horizontal="center"/>
    </xf>
    <xf numFmtId="1" fontId="36" fillId="11" borderId="80" xfId="36" applyNumberFormat="1" applyFont="1" applyFill="1" applyBorder="1" applyAlignment="1">
      <alignment horizontal="center"/>
    </xf>
    <xf numFmtId="0" fontId="39" fillId="11" borderId="81" xfId="36" applyFont="1" applyFill="1" applyBorder="1" applyAlignment="1">
      <alignment horizontal="left"/>
    </xf>
    <xf numFmtId="0" fontId="38" fillId="11" borderId="50" xfId="36" applyFont="1" applyFill="1" applyBorder="1" applyAlignment="1">
      <alignment horizontal="center"/>
    </xf>
    <xf numFmtId="10" fontId="33" fillId="11" borderId="82" xfId="38" applyNumberFormat="1" applyFont="1" applyFill="1" applyBorder="1" applyAlignment="1" applyProtection="1">
      <alignment horizontal="center" vertical="center"/>
    </xf>
    <xf numFmtId="168" fontId="40" fillId="11" borderId="83" xfId="36" applyNumberFormat="1" applyFont="1" applyFill="1" applyBorder="1" applyAlignment="1">
      <alignment horizontal="center" vertical="center"/>
    </xf>
    <xf numFmtId="168" fontId="40" fillId="11" borderId="84" xfId="36" applyNumberFormat="1" applyFont="1" applyFill="1" applyBorder="1" applyAlignment="1">
      <alignment horizontal="center" vertical="center"/>
    </xf>
    <xf numFmtId="0" fontId="31" fillId="0" borderId="0" xfId="36" applyFont="1"/>
    <xf numFmtId="0" fontId="38" fillId="11" borderId="45" xfId="36" applyFont="1" applyFill="1" applyBorder="1" applyAlignment="1">
      <alignment horizontal="center"/>
    </xf>
    <xf numFmtId="10" fontId="33" fillId="11" borderId="62" xfId="38" applyNumberFormat="1" applyFont="1" applyFill="1" applyBorder="1" applyAlignment="1" applyProtection="1">
      <alignment horizontal="center" vertical="center"/>
    </xf>
    <xf numFmtId="168" fontId="40" fillId="11" borderId="85" xfId="39" applyFont="1" applyFill="1" applyBorder="1" applyAlignment="1" applyProtection="1">
      <alignment horizontal="center" vertical="center"/>
    </xf>
    <xf numFmtId="1" fontId="33" fillId="11" borderId="86" xfId="36" applyNumberFormat="1" applyFont="1" applyFill="1" applyBorder="1" applyAlignment="1">
      <alignment horizontal="left" vertical="top"/>
    </xf>
    <xf numFmtId="168" fontId="33" fillId="11" borderId="85" xfId="39" applyFont="1" applyFill="1" applyBorder="1" applyAlignment="1" applyProtection="1">
      <alignment horizontal="center"/>
    </xf>
    <xf numFmtId="1" fontId="33" fillId="11" borderId="87" xfId="36" applyNumberFormat="1" applyFont="1" applyFill="1" applyBorder="1" applyAlignment="1">
      <alignment horizontal="left" vertical="top"/>
    </xf>
    <xf numFmtId="168" fontId="33" fillId="11" borderId="59" xfId="39" applyFont="1" applyFill="1" applyBorder="1" applyAlignment="1" applyProtection="1">
      <alignment horizontal="center"/>
    </xf>
    <xf numFmtId="168" fontId="33" fillId="11" borderId="88" xfId="39" applyFont="1" applyFill="1" applyBorder="1" applyAlignment="1" applyProtection="1">
      <alignment horizontal="center"/>
    </xf>
    <xf numFmtId="0" fontId="39" fillId="11" borderId="76" xfId="36" applyFont="1" applyFill="1" applyBorder="1" applyAlignment="1">
      <alignment horizontal="left"/>
    </xf>
    <xf numFmtId="0" fontId="38" fillId="11" borderId="89" xfId="36" applyFont="1" applyFill="1" applyBorder="1" applyAlignment="1">
      <alignment horizontal="center"/>
    </xf>
    <xf numFmtId="1" fontId="33" fillId="11" borderId="90" xfId="36" applyNumberFormat="1" applyFont="1" applyFill="1" applyBorder="1" applyAlignment="1">
      <alignment horizontal="left" vertical="top"/>
    </xf>
    <xf numFmtId="168" fontId="33" fillId="11" borderId="91" xfId="39" applyFont="1" applyFill="1" applyBorder="1" applyAlignment="1" applyProtection="1">
      <alignment horizontal="center"/>
    </xf>
    <xf numFmtId="1" fontId="33" fillId="11" borderId="78" xfId="36" applyNumberFormat="1" applyFont="1" applyFill="1" applyBorder="1" applyAlignment="1">
      <alignment horizontal="left" vertical="top"/>
    </xf>
    <xf numFmtId="168" fontId="33" fillId="11" borderId="89" xfId="39" applyFont="1" applyFill="1" applyBorder="1" applyAlignment="1" applyProtection="1">
      <alignment horizontal="center"/>
    </xf>
    <xf numFmtId="168" fontId="33" fillId="11" borderId="92" xfId="39" applyFont="1" applyFill="1" applyBorder="1" applyAlignment="1" applyProtection="1">
      <alignment horizontal="center"/>
    </xf>
    <xf numFmtId="0" fontId="29" fillId="11" borderId="73" xfId="36" applyFont="1" applyFill="1" applyBorder="1" applyAlignment="1">
      <alignment horizontal="center" vertical="center"/>
    </xf>
    <xf numFmtId="0" fontId="41" fillId="0" borderId="0" xfId="36" applyFont="1" applyBorder="1" applyAlignment="1">
      <alignment horizontal="left" vertical="center"/>
    </xf>
    <xf numFmtId="0" fontId="42" fillId="0" borderId="0" xfId="36" applyFont="1" applyBorder="1" applyAlignment="1">
      <alignment horizontal="center" vertical="center"/>
    </xf>
    <xf numFmtId="0" fontId="43" fillId="0" borderId="0" xfId="36" applyFont="1" applyBorder="1"/>
    <xf numFmtId="0" fontId="44" fillId="11" borderId="73" xfId="36" applyFont="1" applyFill="1" applyBorder="1" applyAlignment="1">
      <alignment horizontal="right" vertical="center"/>
    </xf>
    <xf numFmtId="0" fontId="29" fillId="11" borderId="0" xfId="36" applyFont="1" applyFill="1" applyBorder="1" applyAlignment="1">
      <alignment horizontal="left" vertical="center"/>
    </xf>
    <xf numFmtId="0" fontId="41" fillId="11" borderId="0" xfId="36" applyFont="1" applyFill="1" applyBorder="1" applyAlignment="1">
      <alignment horizontal="left" vertical="center"/>
    </xf>
    <xf numFmtId="0" fontId="41" fillId="11" borderId="31" xfId="36" applyFont="1" applyFill="1" applyBorder="1" applyAlignment="1">
      <alignment horizontal="left" vertical="center"/>
    </xf>
    <xf numFmtId="0" fontId="45" fillId="0" borderId="0" xfId="36" applyFont="1" applyBorder="1" applyAlignment="1">
      <alignment horizontal="center"/>
    </xf>
    <xf numFmtId="0" fontId="27" fillId="0" borderId="0" xfId="36" applyFont="1" applyBorder="1" applyAlignment="1">
      <alignment horizontal="center" vertical="center"/>
    </xf>
    <xf numFmtId="0" fontId="43" fillId="11" borderId="100" xfId="36" applyFont="1" applyFill="1" applyBorder="1"/>
    <xf numFmtId="0" fontId="32" fillId="11" borderId="64" xfId="36" applyFont="1" applyFill="1" applyBorder="1" applyAlignment="1">
      <alignment horizontal="center" wrapText="1"/>
    </xf>
    <xf numFmtId="0" fontId="41" fillId="11" borderId="64" xfId="36" applyFont="1" applyFill="1" applyBorder="1" applyAlignment="1"/>
    <xf numFmtId="0" fontId="41" fillId="11" borderId="65" xfId="36" applyFont="1" applyFill="1" applyBorder="1" applyAlignment="1"/>
    <xf numFmtId="0" fontId="41" fillId="0" borderId="0" xfId="36" applyFont="1" applyBorder="1" applyAlignment="1"/>
    <xf numFmtId="0" fontId="47" fillId="0" borderId="0" xfId="36" applyFont="1" applyBorder="1" applyAlignment="1">
      <alignment horizontal="center"/>
    </xf>
    <xf numFmtId="0" fontId="11" fillId="0" borderId="0" xfId="0" applyFont="1" applyProtection="1">
      <protection locked="0"/>
    </xf>
    <xf numFmtId="43" fontId="11" fillId="0" borderId="0" xfId="26" applyFont="1" applyAlignment="1" applyProtection="1">
      <alignment horizontal="center" vertical="center"/>
      <protection locked="0"/>
    </xf>
    <xf numFmtId="0" fontId="11" fillId="3" borderId="16" xfId="1" applyFont="1" applyFill="1" applyBorder="1" applyAlignment="1" applyProtection="1">
      <alignment horizontal="right" vertical="center"/>
      <protection locked="0"/>
    </xf>
    <xf numFmtId="2" fontId="12" fillId="4" borderId="4" xfId="5" applyNumberFormat="1" applyFont="1" applyFill="1" applyBorder="1" applyAlignment="1" applyProtection="1">
      <alignment horizontal="right" vertical="center"/>
      <protection locked="0"/>
    </xf>
    <xf numFmtId="2" fontId="12" fillId="3" borderId="9" xfId="25" applyNumberFormat="1" applyFont="1" applyFill="1" applyBorder="1" applyAlignment="1" applyProtection="1">
      <alignment horizontal="right" vertical="center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0" fontId="19" fillId="6" borderId="21" xfId="0" applyFont="1" applyFill="1" applyBorder="1" applyAlignment="1" applyProtection="1">
      <alignment horizontal="right"/>
      <protection locked="0"/>
    </xf>
    <xf numFmtId="43" fontId="14" fillId="0" borderId="0" xfId="26" applyFont="1" applyBorder="1" applyAlignment="1" applyProtection="1">
      <alignment horizontal="right"/>
      <protection locked="0"/>
    </xf>
    <xf numFmtId="43" fontId="14" fillId="7" borderId="0" xfId="26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5" fontId="10" fillId="0" borderId="0" xfId="0" applyNumberFormat="1" applyFont="1" applyProtection="1">
      <protection locked="0"/>
    </xf>
    <xf numFmtId="164" fontId="17" fillId="0" borderId="0" xfId="0" applyNumberFormat="1" applyFont="1" applyAlignment="1" applyProtection="1">
      <alignment horizontal="center"/>
      <protection locked="0"/>
    </xf>
    <xf numFmtId="10" fontId="10" fillId="0" borderId="2" xfId="30" applyNumberFormat="1" applyFont="1" applyBorder="1" applyProtection="1">
      <protection locked="0"/>
    </xf>
    <xf numFmtId="168" fontId="33" fillId="0" borderId="60" xfId="40" applyNumberFormat="1" applyFont="1" applyFill="1" applyBorder="1" applyAlignment="1">
      <alignment vertical="center"/>
    </xf>
    <xf numFmtId="168" fontId="33" fillId="0" borderId="58" xfId="40" applyNumberFormat="1" applyFont="1" applyFill="1" applyBorder="1" applyAlignment="1">
      <alignment vertical="center"/>
    </xf>
    <xf numFmtId="10" fontId="36" fillId="0" borderId="68" xfId="36" applyNumberFormat="1" applyFont="1" applyFill="1" applyBorder="1" applyAlignment="1">
      <alignment horizontal="left" vertical="center"/>
    </xf>
    <xf numFmtId="1" fontId="36" fillId="0" borderId="69" xfId="36" applyNumberFormat="1" applyFont="1" applyFill="1" applyBorder="1" applyAlignment="1">
      <alignment horizontal="center" vertical="center"/>
    </xf>
    <xf numFmtId="1" fontId="36" fillId="0" borderId="70" xfId="36" applyNumberFormat="1" applyFont="1" applyFill="1" applyBorder="1" applyAlignment="1">
      <alignment horizontal="center" vertical="center"/>
    </xf>
    <xf numFmtId="43" fontId="28" fillId="0" borderId="0" xfId="26" applyFont="1"/>
    <xf numFmtId="10" fontId="34" fillId="0" borderId="0" xfId="30" applyNumberFormat="1" applyFont="1" applyFill="1" applyBorder="1" applyAlignment="1" applyProtection="1"/>
    <xf numFmtId="165" fontId="11" fillId="2" borderId="5" xfId="25" applyFont="1" applyFill="1" applyBorder="1" applyAlignment="1" applyProtection="1">
      <alignment vertical="center"/>
      <protection locked="0"/>
    </xf>
    <xf numFmtId="10" fontId="11" fillId="3" borderId="0" xfId="30" applyNumberFormat="1" applyFont="1" applyFill="1" applyBorder="1" applyAlignment="1" applyProtection="1">
      <alignment horizontal="left" vertical="center"/>
      <protection locked="0"/>
    </xf>
    <xf numFmtId="10" fontId="11" fillId="3" borderId="16" xfId="30" applyNumberFormat="1" applyFont="1" applyFill="1" applyBorder="1" applyAlignment="1" applyProtection="1">
      <alignment horizontal="left" vertical="center"/>
      <protection locked="0"/>
    </xf>
    <xf numFmtId="0" fontId="12" fillId="4" borderId="32" xfId="5" applyFont="1" applyFill="1" applyBorder="1" applyAlignment="1" applyProtection="1">
      <alignment horizontal="center" vertical="center"/>
      <protection locked="0"/>
    </xf>
    <xf numFmtId="165" fontId="11" fillId="0" borderId="103" xfId="25" applyFont="1" applyFill="1" applyBorder="1" applyAlignment="1" applyProtection="1">
      <alignment horizontal="left" wrapText="1"/>
      <protection locked="0"/>
    </xf>
    <xf numFmtId="0" fontId="11" fillId="3" borderId="13" xfId="1" applyFont="1" applyFill="1" applyBorder="1" applyAlignment="1" applyProtection="1">
      <alignment vertical="center"/>
      <protection locked="0"/>
    </xf>
    <xf numFmtId="0" fontId="11" fillId="3" borderId="15" xfId="1" applyFont="1" applyFill="1" applyBorder="1" applyAlignment="1" applyProtection="1">
      <alignment vertical="center"/>
      <protection locked="0"/>
    </xf>
    <xf numFmtId="165" fontId="11" fillId="0" borderId="5" xfId="25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43" fontId="0" fillId="0" borderId="0" xfId="26" applyFont="1" applyBorder="1" applyProtection="1">
      <protection locked="0"/>
    </xf>
    <xf numFmtId="10" fontId="11" fillId="3" borderId="14" xfId="30" applyNumberFormat="1" applyFont="1" applyFill="1" applyBorder="1" applyAlignment="1" applyProtection="1">
      <alignment horizontal="left" vertical="center"/>
      <protection locked="0"/>
    </xf>
    <xf numFmtId="10" fontId="11" fillId="3" borderId="17" xfId="3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>
      <protection locked="0"/>
    </xf>
    <xf numFmtId="168" fontId="33" fillId="0" borderId="60" xfId="36" applyNumberFormat="1" applyFont="1" applyFill="1" applyBorder="1" applyAlignment="1">
      <alignment vertical="center"/>
    </xf>
    <xf numFmtId="10" fontId="33" fillId="0" borderId="51" xfId="36" applyNumberFormat="1" applyFont="1" applyFill="1" applyBorder="1" applyAlignment="1">
      <alignment horizontal="left" vertical="center"/>
    </xf>
    <xf numFmtId="1" fontId="33" fillId="0" borderId="53" xfId="36" applyNumberFormat="1" applyFont="1" applyFill="1" applyBorder="1" applyAlignment="1">
      <alignment horizontal="center" vertical="center"/>
    </xf>
    <xf numFmtId="10" fontId="33" fillId="0" borderId="46" xfId="36" applyNumberFormat="1" applyFont="1" applyFill="1" applyBorder="1" applyAlignment="1">
      <alignment horizontal="left" vertical="center"/>
    </xf>
    <xf numFmtId="1" fontId="33" fillId="0" borderId="47" xfId="36" applyNumberFormat="1" applyFont="1" applyFill="1" applyBorder="1" applyAlignment="1">
      <alignment horizontal="center" vertical="center"/>
    </xf>
    <xf numFmtId="1" fontId="33" fillId="0" borderId="48" xfId="36" applyNumberFormat="1" applyFont="1" applyFill="1" applyBorder="1" applyAlignment="1">
      <alignment horizontal="center" vertical="center"/>
    </xf>
    <xf numFmtId="0" fontId="21" fillId="9" borderId="0" xfId="31" applyFont="1" applyFill="1" applyBorder="1" applyAlignment="1">
      <alignment vertical="center"/>
    </xf>
    <xf numFmtId="4" fontId="21" fillId="0" borderId="0" xfId="31" applyNumberFormat="1" applyFont="1" applyFill="1" applyBorder="1" applyAlignment="1">
      <alignment horizontal="left" vertical="center"/>
    </xf>
    <xf numFmtId="0" fontId="21" fillId="9" borderId="0" xfId="31" applyFont="1" applyFill="1" applyBorder="1" applyAlignment="1">
      <alignment horizontal="left" vertical="center"/>
    </xf>
    <xf numFmtId="164" fontId="28" fillId="0" borderId="0" xfId="37" applyNumberFormat="1"/>
    <xf numFmtId="0" fontId="49" fillId="0" borderId="0" xfId="0" applyFont="1" applyFill="1"/>
    <xf numFmtId="0" fontId="0" fillId="0" borderId="0" xfId="0" applyFill="1"/>
    <xf numFmtId="0" fontId="53" fillId="0" borderId="0" xfId="0" applyFont="1" applyAlignment="1">
      <alignment horizontal="left" vertical="center" indent="5"/>
    </xf>
    <xf numFmtId="0" fontId="55" fillId="15" borderId="108" xfId="0" applyFont="1" applyFill="1" applyBorder="1" applyAlignment="1">
      <alignment horizontal="center" vertical="center" wrapText="1"/>
    </xf>
    <xf numFmtId="0" fontId="55" fillId="15" borderId="109" xfId="0" applyFont="1" applyFill="1" applyBorder="1" applyAlignment="1">
      <alignment horizontal="center" vertical="center" wrapText="1"/>
    </xf>
    <xf numFmtId="0" fontId="55" fillId="15" borderId="110" xfId="0" applyFont="1" applyFill="1" applyBorder="1" applyAlignment="1">
      <alignment horizontal="center" vertical="center" wrapText="1"/>
    </xf>
    <xf numFmtId="0" fontId="55" fillId="15" borderId="111" xfId="0" applyFont="1" applyFill="1" applyBorder="1" applyAlignment="1">
      <alignment horizontal="center" vertical="center" wrapText="1"/>
    </xf>
    <xf numFmtId="0" fontId="55" fillId="15" borderId="112" xfId="0" applyFont="1" applyFill="1" applyBorder="1" applyAlignment="1">
      <alignment vertical="center" wrapText="1"/>
    </xf>
    <xf numFmtId="0" fontId="56" fillId="16" borderId="113" xfId="0" applyFont="1" applyFill="1" applyBorder="1" applyAlignment="1">
      <alignment horizontal="center" vertical="center" wrapText="1"/>
    </xf>
    <xf numFmtId="0" fontId="56" fillId="16" borderId="114" xfId="0" applyFont="1" applyFill="1" applyBorder="1" applyAlignment="1">
      <alignment horizontal="center" vertical="center" wrapText="1"/>
    </xf>
    <xf numFmtId="0" fontId="56" fillId="16" borderId="115" xfId="0" applyFont="1" applyFill="1" applyBorder="1" applyAlignment="1">
      <alignment horizontal="center" vertical="center" wrapText="1"/>
    </xf>
    <xf numFmtId="0" fontId="55" fillId="15" borderId="116" xfId="0" applyFont="1" applyFill="1" applyBorder="1" applyAlignment="1">
      <alignment vertical="center" wrapText="1"/>
    </xf>
    <xf numFmtId="0" fontId="56" fillId="17" borderId="113" xfId="0" applyFont="1" applyFill="1" applyBorder="1" applyAlignment="1">
      <alignment horizontal="center" vertical="center" wrapText="1"/>
    </xf>
    <xf numFmtId="0" fontId="56" fillId="17" borderId="114" xfId="0" applyFont="1" applyFill="1" applyBorder="1" applyAlignment="1">
      <alignment horizontal="center" vertical="center" wrapText="1"/>
    </xf>
    <xf numFmtId="16" fontId="56" fillId="17" borderId="113" xfId="0" applyNumberFormat="1" applyFont="1" applyFill="1" applyBorder="1" applyAlignment="1">
      <alignment horizontal="center" vertical="center" wrapText="1"/>
    </xf>
    <xf numFmtId="0" fontId="56" fillId="17" borderId="115" xfId="0" applyFont="1" applyFill="1" applyBorder="1" applyAlignment="1">
      <alignment horizontal="center" vertical="center" wrapText="1"/>
    </xf>
    <xf numFmtId="16" fontId="56" fillId="16" borderId="113" xfId="0" applyNumberFormat="1" applyFont="1" applyFill="1" applyBorder="1" applyAlignment="1">
      <alignment horizontal="center" vertical="center" wrapText="1"/>
    </xf>
    <xf numFmtId="0" fontId="56" fillId="17" borderId="119" xfId="0" applyFont="1" applyFill="1" applyBorder="1" applyAlignment="1">
      <alignment horizontal="center" vertical="center" wrapText="1"/>
    </xf>
    <xf numFmtId="0" fontId="56" fillId="17" borderId="120" xfId="0" applyFont="1" applyFill="1" applyBorder="1" applyAlignment="1">
      <alignment horizontal="center" vertical="center" wrapText="1"/>
    </xf>
    <xf numFmtId="0" fontId="56" fillId="17" borderId="31" xfId="0" applyFont="1" applyFill="1" applyBorder="1" applyAlignment="1">
      <alignment horizontal="center" vertical="center" wrapText="1"/>
    </xf>
    <xf numFmtId="0" fontId="57" fillId="17" borderId="114" xfId="0" applyFont="1" applyFill="1" applyBorder="1" applyAlignment="1">
      <alignment horizontal="center" vertical="center" wrapText="1"/>
    </xf>
    <xf numFmtId="14" fontId="56" fillId="16" borderId="113" xfId="0" applyNumberFormat="1" applyFont="1" applyFill="1" applyBorder="1" applyAlignment="1">
      <alignment horizontal="center" vertical="center" wrapText="1"/>
    </xf>
    <xf numFmtId="14" fontId="56" fillId="17" borderId="113" xfId="0" applyNumberFormat="1" applyFont="1" applyFill="1" applyBorder="1" applyAlignment="1">
      <alignment horizontal="center" vertical="center" wrapText="1"/>
    </xf>
    <xf numFmtId="0" fontId="55" fillId="14" borderId="116" xfId="0" applyFont="1" applyFill="1" applyBorder="1" applyAlignment="1">
      <alignment vertical="center" wrapText="1"/>
    </xf>
    <xf numFmtId="0" fontId="56" fillId="14" borderId="119" xfId="0" applyFont="1" applyFill="1" applyBorder="1" applyAlignment="1">
      <alignment horizontal="center" vertical="center" wrapText="1"/>
    </xf>
    <xf numFmtId="0" fontId="56" fillId="14" borderId="31" xfId="0" applyFont="1" applyFill="1" applyBorder="1" applyAlignment="1">
      <alignment horizontal="center" vertical="center" wrapText="1"/>
    </xf>
    <xf numFmtId="0" fontId="56" fillId="14" borderId="115" xfId="0" applyFont="1" applyFill="1" applyBorder="1" applyAlignment="1">
      <alignment horizontal="center" vertical="center" wrapText="1"/>
    </xf>
    <xf numFmtId="0" fontId="57" fillId="14" borderId="114" xfId="0" applyFont="1" applyFill="1" applyBorder="1" applyAlignment="1">
      <alignment horizontal="center" vertical="center" wrapText="1"/>
    </xf>
    <xf numFmtId="14" fontId="56" fillId="14" borderId="119" xfId="0" applyNumberFormat="1" applyFont="1" applyFill="1" applyBorder="1" applyAlignment="1">
      <alignment horizontal="center" vertical="center" wrapText="1"/>
    </xf>
    <xf numFmtId="0" fontId="55" fillId="15" borderId="124" xfId="0" applyFont="1" applyFill="1" applyBorder="1" applyAlignment="1">
      <alignment vertical="center" wrapText="1"/>
    </xf>
    <xf numFmtId="0" fontId="56" fillId="17" borderId="125" xfId="0" applyFont="1" applyFill="1" applyBorder="1" applyAlignment="1">
      <alignment horizontal="center" vertical="center" wrapText="1"/>
    </xf>
    <xf numFmtId="0" fontId="56" fillId="17" borderId="65" xfId="0" applyFont="1" applyFill="1" applyBorder="1" applyAlignment="1">
      <alignment horizontal="center" vertical="center" wrapText="1"/>
    </xf>
    <xf numFmtId="0" fontId="56" fillId="17" borderId="126" xfId="0" applyFont="1" applyFill="1" applyBorder="1" applyAlignment="1">
      <alignment horizontal="center" vertical="center" wrapText="1"/>
    </xf>
    <xf numFmtId="14" fontId="56" fillId="17" borderId="12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 applyAlignment="1">
      <alignment wrapText="1"/>
    </xf>
    <xf numFmtId="0" fontId="0" fillId="0" borderId="31" xfId="0" applyBorder="1"/>
    <xf numFmtId="0" fontId="0" fillId="0" borderId="127" xfId="0" applyBorder="1"/>
    <xf numFmtId="0" fontId="0" fillId="0" borderId="65" xfId="0" applyBorder="1" applyAlignment="1">
      <alignment wrapText="1"/>
    </xf>
    <xf numFmtId="0" fontId="0" fillId="0" borderId="65" xfId="0" applyBorder="1"/>
    <xf numFmtId="0" fontId="58" fillId="0" borderId="0" xfId="0" applyFont="1"/>
    <xf numFmtId="0" fontId="57" fillId="16" borderId="114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/>
    <xf numFmtId="0" fontId="0" fillId="3" borderId="0" xfId="0" applyFill="1"/>
    <xf numFmtId="0" fontId="0" fillId="0" borderId="16" xfId="0" applyBorder="1"/>
    <xf numFmtId="9" fontId="0" fillId="0" borderId="0" xfId="0" applyNumberFormat="1"/>
    <xf numFmtId="0" fontId="0" fillId="0" borderId="0" xfId="0" applyFill="1" applyAlignment="1">
      <alignment horizontal="center"/>
    </xf>
    <xf numFmtId="0" fontId="22" fillId="0" borderId="0" xfId="28" applyFont="1" applyFill="1" applyBorder="1" applyAlignment="1" applyProtection="1">
      <protection locked="0"/>
    </xf>
    <xf numFmtId="0" fontId="22" fillId="0" borderId="0" xfId="28" applyFont="1" applyFill="1" applyAlignment="1">
      <alignment vertical="center"/>
    </xf>
    <xf numFmtId="0" fontId="23" fillId="0" borderId="0" xfId="31" applyFont="1" applyFill="1" applyAlignment="1">
      <alignment horizontal="center" vertical="center"/>
    </xf>
    <xf numFmtId="0" fontId="22" fillId="0" borderId="0" xfId="28" applyFont="1" applyFill="1" applyBorder="1" applyAlignment="1">
      <alignment vertical="center"/>
    </xf>
    <xf numFmtId="0" fontId="22" fillId="0" borderId="0" xfId="28" applyFont="1" applyFill="1" applyBorder="1" applyAlignment="1">
      <alignment horizontal="right" vertical="center" wrapText="1"/>
    </xf>
    <xf numFmtId="0" fontId="22" fillId="0" borderId="0" xfId="28" applyFont="1" applyFill="1" applyAlignment="1">
      <alignment horizontal="right" vertical="center"/>
    </xf>
    <xf numFmtId="4" fontId="21" fillId="0" borderId="0" xfId="28" applyNumberFormat="1" applyFont="1" applyFill="1" applyAlignment="1">
      <alignment horizontal="right" vertical="center"/>
    </xf>
    <xf numFmtId="0" fontId="22" fillId="0" borderId="33" xfId="28" applyFont="1" applyFill="1" applyBorder="1" applyAlignment="1">
      <alignment horizontal="right" vertical="center"/>
    </xf>
    <xf numFmtId="0" fontId="22" fillId="0" borderId="0" xfId="28" applyFont="1" applyFill="1" applyBorder="1" applyAlignment="1">
      <alignment horizontal="right" vertical="center"/>
    </xf>
    <xf numFmtId="0" fontId="21" fillId="19" borderId="105" xfId="31" applyFont="1" applyFill="1" applyBorder="1" applyAlignment="1">
      <alignment horizontal="right" vertical="center"/>
    </xf>
    <xf numFmtId="0" fontId="22" fillId="19" borderId="0" xfId="31" applyFont="1" applyFill="1" applyAlignment="1">
      <alignment horizontal="right" vertical="center"/>
    </xf>
    <xf numFmtId="0" fontId="21" fillId="9" borderId="105" xfId="31" applyFont="1" applyFill="1" applyBorder="1" applyAlignment="1">
      <alignment horizontal="right" vertical="center"/>
    </xf>
    <xf numFmtId="0" fontId="22" fillId="9" borderId="0" xfId="31" applyFont="1" applyFill="1" applyAlignment="1">
      <alignment horizontal="right" vertical="center"/>
    </xf>
    <xf numFmtId="0" fontId="21" fillId="0" borderId="33" xfId="31" applyFont="1" applyFill="1" applyBorder="1" applyAlignment="1">
      <alignment horizontal="right" vertical="center"/>
    </xf>
    <xf numFmtId="165" fontId="21" fillId="0" borderId="129" xfId="28" applyNumberFormat="1" applyFont="1" applyFill="1" applyBorder="1" applyAlignment="1">
      <alignment horizontal="right" vertical="center"/>
    </xf>
    <xf numFmtId="165" fontId="22" fillId="0" borderId="129" xfId="28" applyNumberFormat="1" applyFont="1" applyFill="1" applyBorder="1" applyAlignment="1">
      <alignment horizontal="right" vertical="center"/>
    </xf>
    <xf numFmtId="0" fontId="7" fillId="0" borderId="0" xfId="0" applyFont="1" applyFill="1"/>
    <xf numFmtId="0" fontId="0" fillId="0" borderId="0" xfId="0" applyFill="1" applyAlignment="1">
      <alignment horizontal="left"/>
    </xf>
    <xf numFmtId="0" fontId="22" fillId="19" borderId="134" xfId="28" applyFont="1" applyFill="1" applyBorder="1" applyAlignment="1">
      <alignment horizontal="left" vertical="top" wrapText="1"/>
    </xf>
    <xf numFmtId="0" fontId="22" fillId="19" borderId="129" xfId="28" applyFont="1" applyFill="1" applyBorder="1" applyAlignment="1">
      <alignment horizontal="left" vertical="center"/>
    </xf>
    <xf numFmtId="2" fontId="22" fillId="19" borderId="129" xfId="28" applyNumberFormat="1" applyFont="1" applyFill="1" applyBorder="1" applyAlignment="1">
      <alignment horizontal="center" vertical="center"/>
    </xf>
    <xf numFmtId="2" fontId="22" fillId="19" borderId="129" xfId="28" applyNumberFormat="1" applyFont="1" applyFill="1" applyBorder="1" applyAlignment="1">
      <alignment horizontal="right" vertical="center"/>
    </xf>
    <xf numFmtId="165" fontId="22" fillId="19" borderId="129" xfId="28" applyNumberFormat="1" applyFont="1" applyFill="1" applyBorder="1" applyAlignment="1">
      <alignment horizontal="right" vertical="center"/>
    </xf>
    <xf numFmtId="4" fontId="21" fillId="19" borderId="129" xfId="28" applyNumberFormat="1" applyFont="1" applyFill="1" applyBorder="1" applyAlignment="1">
      <alignment horizontal="right" vertical="center"/>
    </xf>
    <xf numFmtId="0" fontId="51" fillId="19" borderId="0" xfId="31" applyFont="1" applyFill="1" applyBorder="1" applyAlignment="1">
      <alignment horizontal="left" vertical="center"/>
    </xf>
    <xf numFmtId="0" fontId="21" fillId="19" borderId="0" xfId="31" applyFont="1" applyFill="1" applyBorder="1" applyAlignment="1">
      <alignment horizontal="left" vertical="center"/>
    </xf>
    <xf numFmtId="0" fontId="21" fillId="19" borderId="0" xfId="31" applyFont="1" applyFill="1" applyBorder="1" applyAlignment="1">
      <alignment vertical="center"/>
    </xf>
    <xf numFmtId="0" fontId="21" fillId="19" borderId="135" xfId="31" applyFont="1" applyFill="1" applyBorder="1" applyAlignment="1">
      <alignment horizontal="right" vertical="center"/>
    </xf>
    <xf numFmtId="0" fontId="26" fillId="19" borderId="129" xfId="28" applyFont="1" applyFill="1" applyBorder="1" applyAlignment="1">
      <alignment horizontal="left" vertical="center"/>
    </xf>
    <xf numFmtId="0" fontId="22" fillId="19" borderId="129" xfId="28" applyFont="1" applyFill="1" applyBorder="1" applyAlignment="1">
      <alignment horizontal="left" vertical="top"/>
    </xf>
    <xf numFmtId="0" fontId="22" fillId="19" borderId="131" xfId="28" applyFont="1" applyFill="1" applyBorder="1" applyAlignment="1">
      <alignment horizontal="right" vertical="center" wrapText="1"/>
    </xf>
    <xf numFmtId="0" fontId="22" fillId="19" borderId="129" xfId="28" applyFont="1" applyFill="1" applyBorder="1" applyAlignment="1">
      <alignment horizontal="right" vertical="center"/>
    </xf>
    <xf numFmtId="0" fontId="22" fillId="19" borderId="129" xfId="31" applyFont="1" applyFill="1" applyBorder="1" applyAlignment="1">
      <alignment horizontal="right" vertical="center"/>
    </xf>
    <xf numFmtId="2" fontId="22" fillId="19" borderId="129" xfId="31" applyNumberFormat="1" applyFont="1" applyFill="1" applyBorder="1" applyAlignment="1">
      <alignment horizontal="right" vertical="center"/>
    </xf>
    <xf numFmtId="0" fontId="22" fillId="9" borderId="134" xfId="28" applyFont="1" applyFill="1" applyBorder="1" applyAlignment="1">
      <alignment horizontal="left" vertical="top" wrapText="1"/>
    </xf>
    <xf numFmtId="2" fontId="22" fillId="9" borderId="129" xfId="28" applyNumberFormat="1" applyFont="1" applyFill="1" applyBorder="1" applyAlignment="1">
      <alignment horizontal="center" vertical="center"/>
    </xf>
    <xf numFmtId="2" fontId="22" fillId="9" borderId="129" xfId="28" applyNumberFormat="1" applyFont="1" applyFill="1" applyBorder="1" applyAlignment="1">
      <alignment horizontal="right" vertical="center"/>
    </xf>
    <xf numFmtId="165" fontId="22" fillId="9" borderId="129" xfId="28" applyNumberFormat="1" applyFont="1" applyFill="1" applyBorder="1" applyAlignment="1">
      <alignment horizontal="right" vertical="center"/>
    </xf>
    <xf numFmtId="4" fontId="21" fillId="9" borderId="129" xfId="28" applyNumberFormat="1" applyFont="1" applyFill="1" applyBorder="1" applyAlignment="1">
      <alignment horizontal="right" vertical="center"/>
    </xf>
    <xf numFmtId="0" fontId="51" fillId="9" borderId="0" xfId="31" applyFont="1" applyFill="1" applyBorder="1" applyAlignment="1">
      <alignment horizontal="left" vertical="center"/>
    </xf>
    <xf numFmtId="0" fontId="26" fillId="9" borderId="129" xfId="28" applyFont="1" applyFill="1" applyBorder="1" applyAlignment="1">
      <alignment horizontal="left" vertical="center"/>
    </xf>
    <xf numFmtId="0" fontId="22" fillId="9" borderId="129" xfId="28" applyFont="1" applyFill="1" applyBorder="1" applyAlignment="1">
      <alignment horizontal="left" vertical="top"/>
    </xf>
    <xf numFmtId="0" fontId="22" fillId="9" borderId="131" xfId="28" applyFont="1" applyFill="1" applyBorder="1" applyAlignment="1">
      <alignment horizontal="right" vertical="center" wrapText="1"/>
    </xf>
    <xf numFmtId="0" fontId="22" fillId="9" borderId="129" xfId="31" applyFont="1" applyFill="1" applyBorder="1" applyAlignment="1">
      <alignment horizontal="right" vertical="center"/>
    </xf>
    <xf numFmtId="0" fontId="22" fillId="9" borderId="129" xfId="28" applyFont="1" applyFill="1" applyBorder="1" applyAlignment="1">
      <alignment horizontal="right" vertical="center"/>
    </xf>
    <xf numFmtId="2" fontId="60" fillId="0" borderId="0" xfId="0" applyNumberFormat="1" applyFont="1"/>
    <xf numFmtId="0" fontId="22" fillId="10" borderId="134" xfId="28" applyFont="1" applyFill="1" applyBorder="1" applyAlignment="1">
      <alignment horizontal="left" vertical="top" wrapText="1"/>
    </xf>
    <xf numFmtId="0" fontId="22" fillId="10" borderId="129" xfId="28" applyFont="1" applyFill="1" applyBorder="1" applyAlignment="1">
      <alignment horizontal="left" vertical="center"/>
    </xf>
    <xf numFmtId="2" fontId="22" fillId="10" borderId="129" xfId="28" applyNumberFormat="1" applyFont="1" applyFill="1" applyBorder="1" applyAlignment="1">
      <alignment horizontal="center" vertical="center"/>
    </xf>
    <xf numFmtId="2" fontId="22" fillId="10" borderId="129" xfId="28" applyNumberFormat="1" applyFont="1" applyFill="1" applyBorder="1" applyAlignment="1">
      <alignment horizontal="right" vertical="center"/>
    </xf>
    <xf numFmtId="165" fontId="22" fillId="10" borderId="129" xfId="28" applyNumberFormat="1" applyFont="1" applyFill="1" applyBorder="1" applyAlignment="1">
      <alignment horizontal="right" vertical="center"/>
    </xf>
    <xf numFmtId="4" fontId="21" fillId="10" borderId="129" xfId="28" applyNumberFormat="1" applyFont="1" applyFill="1" applyBorder="1" applyAlignment="1">
      <alignment horizontal="right" vertical="center"/>
    </xf>
    <xf numFmtId="0" fontId="21" fillId="10" borderId="0" xfId="31" applyFont="1" applyFill="1" applyBorder="1" applyAlignment="1">
      <alignment horizontal="left" vertical="center"/>
    </xf>
    <xf numFmtId="0" fontId="21" fillId="10" borderId="105" xfId="31" applyFont="1" applyFill="1" applyBorder="1" applyAlignment="1">
      <alignment horizontal="right" vertical="center"/>
    </xf>
    <xf numFmtId="0" fontId="22" fillId="10" borderId="0" xfId="31" applyFont="1" applyFill="1" applyAlignment="1">
      <alignment horizontal="right" vertical="center"/>
    </xf>
    <xf numFmtId="0" fontId="21" fillId="10" borderId="0" xfId="31" applyFont="1" applyFill="1" applyBorder="1" applyAlignment="1">
      <alignment vertical="center"/>
    </xf>
    <xf numFmtId="0" fontId="22" fillId="10" borderId="131" xfId="28" applyFont="1" applyFill="1" applyBorder="1" applyAlignment="1">
      <alignment horizontal="right" vertical="center" wrapText="1"/>
    </xf>
    <xf numFmtId="0" fontId="22" fillId="10" borderId="129" xfId="28" applyFont="1" applyFill="1" applyBorder="1" applyAlignment="1">
      <alignment horizontal="left" vertical="top"/>
    </xf>
    <xf numFmtId="0" fontId="22" fillId="10" borderId="129" xfId="28" applyFont="1" applyFill="1" applyBorder="1" applyAlignment="1">
      <alignment horizontal="right" vertical="center"/>
    </xf>
    <xf numFmtId="0" fontId="21" fillId="19" borderId="131" xfId="28" applyFont="1" applyFill="1" applyBorder="1" applyAlignment="1">
      <alignment horizontal="right" vertical="center" wrapText="1"/>
    </xf>
    <xf numFmtId="0" fontId="52" fillId="20" borderId="130" xfId="28" applyFont="1" applyFill="1" applyBorder="1" applyAlignment="1">
      <alignment horizontal="center" vertical="center"/>
    </xf>
    <xf numFmtId="0" fontId="52" fillId="20" borderId="130" xfId="28" applyFont="1" applyFill="1" applyBorder="1" applyAlignment="1">
      <alignment horizontal="left" vertical="center"/>
    </xf>
    <xf numFmtId="0" fontId="50" fillId="20" borderId="133" xfId="28" applyFont="1" applyFill="1" applyBorder="1" applyAlignment="1">
      <alignment horizontal="left" vertical="center"/>
    </xf>
    <xf numFmtId="0" fontId="50" fillId="20" borderId="132" xfId="28" applyFont="1" applyFill="1" applyBorder="1" applyAlignment="1">
      <alignment horizontal="right" vertical="center" wrapText="1"/>
    </xf>
    <xf numFmtId="0" fontId="50" fillId="20" borderId="130" xfId="28" applyFont="1" applyFill="1" applyBorder="1" applyAlignment="1">
      <alignment horizontal="center" vertical="center"/>
    </xf>
    <xf numFmtId="9" fontId="50" fillId="20" borderId="130" xfId="30" applyFont="1" applyFill="1" applyBorder="1" applyAlignment="1">
      <alignment horizontal="center" vertical="center"/>
    </xf>
    <xf numFmtId="2" fontId="50" fillId="20" borderId="130" xfId="28" applyNumberFormat="1" applyFont="1" applyFill="1" applyBorder="1" applyAlignment="1">
      <alignment horizontal="left" vertical="center"/>
    </xf>
    <xf numFmtId="2" fontId="50" fillId="20" borderId="130" xfId="28" applyNumberFormat="1" applyFont="1" applyFill="1" applyBorder="1" applyAlignment="1">
      <alignment horizontal="center" vertical="center"/>
    </xf>
    <xf numFmtId="165" fontId="50" fillId="20" borderId="130" xfId="28" applyNumberFormat="1" applyFont="1" applyFill="1" applyBorder="1" applyAlignment="1">
      <alignment horizontal="right" vertical="center"/>
    </xf>
    <xf numFmtId="4" fontId="52" fillId="20" borderId="130" xfId="28" applyNumberFormat="1" applyFont="1" applyFill="1" applyBorder="1" applyAlignment="1">
      <alignment horizontal="right" vertical="center"/>
    </xf>
    <xf numFmtId="0" fontId="52" fillId="20" borderId="0" xfId="31" applyFont="1" applyFill="1" applyBorder="1" applyAlignment="1">
      <alignment horizontal="left" vertical="center"/>
    </xf>
    <xf numFmtId="0" fontId="52" fillId="20" borderId="128" xfId="31" applyFont="1" applyFill="1" applyBorder="1" applyAlignment="1">
      <alignment horizontal="right" vertical="center"/>
    </xf>
    <xf numFmtId="0" fontId="50" fillId="20" borderId="0" xfId="31" applyFont="1" applyFill="1" applyAlignment="1">
      <alignment horizontal="right" vertical="center"/>
    </xf>
    <xf numFmtId="0" fontId="52" fillId="20" borderId="0" xfId="31" applyFont="1" applyFill="1" applyBorder="1" applyAlignment="1">
      <alignment vertical="center"/>
    </xf>
    <xf numFmtId="0" fontId="61" fillId="0" borderId="0" xfId="0" applyFont="1"/>
    <xf numFmtId="0" fontId="62" fillId="0" borderId="0" xfId="0" applyFont="1"/>
    <xf numFmtId="0" fontId="63" fillId="0" borderId="0" xfId="0" applyFont="1"/>
    <xf numFmtId="0" fontId="26" fillId="10" borderId="129" xfId="28" applyFont="1" applyFill="1" applyBorder="1" applyAlignment="1">
      <alignment horizontal="left" vertical="center"/>
    </xf>
    <xf numFmtId="0" fontId="51" fillId="10" borderId="0" xfId="31" applyFont="1" applyFill="1" applyBorder="1" applyAlignment="1">
      <alignment horizontal="left" vertical="center"/>
    </xf>
    <xf numFmtId="0" fontId="26" fillId="21" borderId="129" xfId="28" applyFont="1" applyFill="1" applyBorder="1" applyAlignment="1">
      <alignment horizontal="left" vertical="center"/>
    </xf>
    <xf numFmtId="0" fontId="22" fillId="21" borderId="129" xfId="28" applyFont="1" applyFill="1" applyBorder="1" applyAlignment="1">
      <alignment horizontal="left" vertical="top"/>
    </xf>
    <xf numFmtId="0" fontId="22" fillId="21" borderId="134" xfId="28" applyFont="1" applyFill="1" applyBorder="1" applyAlignment="1">
      <alignment horizontal="left" vertical="top" wrapText="1"/>
    </xf>
    <xf numFmtId="0" fontId="22" fillId="21" borderId="131" xfId="28" applyFont="1" applyFill="1" applyBorder="1" applyAlignment="1">
      <alignment horizontal="right" vertical="center" wrapText="1"/>
    </xf>
    <xf numFmtId="0" fontId="22" fillId="21" borderId="129" xfId="28" applyFont="1" applyFill="1" applyBorder="1" applyAlignment="1">
      <alignment horizontal="left" vertical="center"/>
    </xf>
    <xf numFmtId="2" fontId="22" fillId="21" borderId="129" xfId="28" applyNumberFormat="1" applyFont="1" applyFill="1" applyBorder="1" applyAlignment="1">
      <alignment horizontal="center" vertical="center"/>
    </xf>
    <xf numFmtId="2" fontId="22" fillId="21" borderId="129" xfId="28" applyNumberFormat="1" applyFont="1" applyFill="1" applyBorder="1" applyAlignment="1">
      <alignment horizontal="right" vertical="center"/>
    </xf>
    <xf numFmtId="165" fontId="22" fillId="21" borderId="129" xfId="28" applyNumberFormat="1" applyFont="1" applyFill="1" applyBorder="1" applyAlignment="1">
      <alignment horizontal="right" vertical="center"/>
    </xf>
    <xf numFmtId="4" fontId="21" fillId="21" borderId="129" xfId="28" applyNumberFormat="1" applyFont="1" applyFill="1" applyBorder="1" applyAlignment="1">
      <alignment horizontal="right" vertical="center"/>
    </xf>
    <xf numFmtId="0" fontId="51" fillId="21" borderId="0" xfId="31" applyFont="1" applyFill="1" applyBorder="1" applyAlignment="1">
      <alignment horizontal="left" vertical="center"/>
    </xf>
    <xf numFmtId="0" fontId="21" fillId="21" borderId="0" xfId="31" applyFont="1" applyFill="1" applyBorder="1" applyAlignment="1">
      <alignment horizontal="left" vertical="center"/>
    </xf>
    <xf numFmtId="0" fontId="21" fillId="21" borderId="105" xfId="31" applyFont="1" applyFill="1" applyBorder="1" applyAlignment="1">
      <alignment horizontal="right" vertical="center"/>
    </xf>
    <xf numFmtId="0" fontId="22" fillId="21" borderId="0" xfId="31" applyFont="1" applyFill="1" applyAlignment="1">
      <alignment horizontal="right" vertical="center"/>
    </xf>
    <xf numFmtId="0" fontId="21" fillId="21" borderId="0" xfId="31" applyFont="1" applyFill="1" applyBorder="1" applyAlignment="1">
      <alignment vertical="center"/>
    </xf>
    <xf numFmtId="0" fontId="22" fillId="21" borderId="129" xfId="28" applyFont="1" applyFill="1" applyBorder="1" applyAlignment="1">
      <alignment horizontal="right" vertical="center"/>
    </xf>
    <xf numFmtId="2" fontId="61" fillId="0" borderId="0" xfId="0" applyNumberFormat="1" applyFont="1"/>
    <xf numFmtId="169" fontId="61" fillId="0" borderId="0" xfId="0" applyNumberFormat="1" applyFont="1"/>
    <xf numFmtId="0" fontId="52" fillId="13" borderId="130" xfId="28" applyFont="1" applyFill="1" applyBorder="1" applyAlignment="1">
      <alignment horizontal="center" vertical="center"/>
    </xf>
    <xf numFmtId="0" fontId="52" fillId="13" borderId="130" xfId="28" applyFont="1" applyFill="1" applyBorder="1" applyAlignment="1">
      <alignment horizontal="left" vertical="center"/>
    </xf>
    <xf numFmtId="0" fontId="50" fillId="13" borderId="133" xfId="28" applyFont="1" applyFill="1" applyBorder="1" applyAlignment="1">
      <alignment horizontal="left" vertical="center"/>
    </xf>
    <xf numFmtId="0" fontId="50" fillId="13" borderId="132" xfId="28" applyFont="1" applyFill="1" applyBorder="1" applyAlignment="1">
      <alignment horizontal="right" vertical="center" wrapText="1"/>
    </xf>
    <xf numFmtId="0" fontId="50" fillId="13" borderId="130" xfId="28" applyFont="1" applyFill="1" applyBorder="1" applyAlignment="1">
      <alignment horizontal="center" vertical="center"/>
    </xf>
    <xf numFmtId="9" fontId="50" fillId="13" borderId="130" xfId="30" applyFont="1" applyFill="1" applyBorder="1" applyAlignment="1">
      <alignment horizontal="center" vertical="center"/>
    </xf>
    <xf numFmtId="2" fontId="50" fillId="13" borderId="130" xfId="28" applyNumberFormat="1" applyFont="1" applyFill="1" applyBorder="1" applyAlignment="1">
      <alignment horizontal="left" vertical="center"/>
    </xf>
    <xf numFmtId="2" fontId="50" fillId="13" borderId="130" xfId="28" applyNumberFormat="1" applyFont="1" applyFill="1" applyBorder="1" applyAlignment="1">
      <alignment horizontal="center" vertical="center"/>
    </xf>
    <xf numFmtId="165" fontId="50" fillId="13" borderId="130" xfId="28" applyNumberFormat="1" applyFont="1" applyFill="1" applyBorder="1" applyAlignment="1">
      <alignment horizontal="right" vertical="center"/>
    </xf>
    <xf numFmtId="4" fontId="52" fillId="13" borderId="130" xfId="28" applyNumberFormat="1" applyFont="1" applyFill="1" applyBorder="1" applyAlignment="1">
      <alignment horizontal="right" vertical="center"/>
    </xf>
    <xf numFmtId="0" fontId="52" fillId="13" borderId="0" xfId="31" applyFont="1" applyFill="1" applyBorder="1" applyAlignment="1">
      <alignment horizontal="left" vertical="center"/>
    </xf>
    <xf numFmtId="0" fontId="52" fillId="13" borderId="128" xfId="31" applyFont="1" applyFill="1" applyBorder="1" applyAlignment="1">
      <alignment horizontal="right" vertical="center"/>
    </xf>
    <xf numFmtId="0" fontId="50" fillId="13" borderId="0" xfId="31" applyFont="1" applyFill="1" applyAlignment="1">
      <alignment horizontal="right" vertical="center"/>
    </xf>
    <xf numFmtId="0" fontId="52" fillId="13" borderId="0" xfId="31" applyFont="1" applyFill="1" applyBorder="1" applyAlignment="1">
      <alignment vertical="center"/>
    </xf>
    <xf numFmtId="0" fontId="64" fillId="0" borderId="0" xfId="0" applyFont="1"/>
    <xf numFmtId="0" fontId="22" fillId="10" borderId="129" xfId="31" applyFont="1" applyFill="1" applyBorder="1" applyAlignment="1">
      <alignment horizontal="right" vertical="center"/>
    </xf>
    <xf numFmtId="0" fontId="26" fillId="22" borderId="129" xfId="28" applyFont="1" applyFill="1" applyBorder="1" applyAlignment="1">
      <alignment horizontal="left" vertical="center"/>
    </xf>
    <xf numFmtId="0" fontId="22" fillId="22" borderId="129" xfId="28" applyFont="1" applyFill="1" applyBorder="1" applyAlignment="1">
      <alignment horizontal="left" vertical="top"/>
    </xf>
    <xf numFmtId="0" fontId="22" fillId="22" borderId="134" xfId="28" applyFont="1" applyFill="1" applyBorder="1" applyAlignment="1">
      <alignment horizontal="left" vertical="top" wrapText="1"/>
    </xf>
    <xf numFmtId="0" fontId="22" fillId="22" borderId="131" xfId="28" applyFont="1" applyFill="1" applyBorder="1" applyAlignment="1">
      <alignment horizontal="right" vertical="center" wrapText="1"/>
    </xf>
    <xf numFmtId="0" fontId="22" fillId="22" borderId="129" xfId="28" applyFont="1" applyFill="1" applyBorder="1" applyAlignment="1">
      <alignment horizontal="right" vertical="center"/>
    </xf>
    <xf numFmtId="2" fontId="22" fillId="22" borderId="129" xfId="28" applyNumberFormat="1" applyFont="1" applyFill="1" applyBorder="1" applyAlignment="1">
      <alignment horizontal="center" vertical="center"/>
    </xf>
    <xf numFmtId="2" fontId="22" fillId="22" borderId="129" xfId="28" applyNumberFormat="1" applyFont="1" applyFill="1" applyBorder="1" applyAlignment="1">
      <alignment horizontal="right" vertical="center"/>
    </xf>
    <xf numFmtId="165" fontId="22" fillId="22" borderId="129" xfId="28" applyNumberFormat="1" applyFont="1" applyFill="1" applyBorder="1" applyAlignment="1">
      <alignment horizontal="right" vertical="center"/>
    </xf>
    <xf numFmtId="4" fontId="21" fillId="22" borderId="129" xfId="28" applyNumberFormat="1" applyFont="1" applyFill="1" applyBorder="1" applyAlignment="1">
      <alignment horizontal="right" vertical="center"/>
    </xf>
    <xf numFmtId="0" fontId="51" fillId="22" borderId="0" xfId="31" applyFont="1" applyFill="1" applyBorder="1" applyAlignment="1">
      <alignment horizontal="left" vertical="center"/>
    </xf>
    <xf numFmtId="0" fontId="21" fillId="22" borderId="0" xfId="31" applyFont="1" applyFill="1" applyBorder="1" applyAlignment="1">
      <alignment horizontal="left" vertical="center"/>
    </xf>
    <xf numFmtId="0" fontId="21" fillId="22" borderId="105" xfId="31" applyFont="1" applyFill="1" applyBorder="1" applyAlignment="1">
      <alignment horizontal="right" vertical="center"/>
    </xf>
    <xf numFmtId="0" fontId="22" fillId="22" borderId="0" xfId="31" applyFont="1" applyFill="1" applyAlignment="1">
      <alignment horizontal="right" vertical="center"/>
    </xf>
    <xf numFmtId="0" fontId="21" fillId="22" borderId="0" xfId="31" applyFont="1" applyFill="1" applyBorder="1" applyAlignment="1">
      <alignment vertical="center"/>
    </xf>
    <xf numFmtId="0" fontId="22" fillId="22" borderId="129" xfId="28" applyFont="1" applyFill="1" applyBorder="1" applyAlignment="1">
      <alignment horizontal="left" vertical="center"/>
    </xf>
    <xf numFmtId="0" fontId="64" fillId="0" borderId="0" xfId="0" applyFont="1" applyAlignment="1">
      <alignment horizontal="right"/>
    </xf>
    <xf numFmtId="0" fontId="65" fillId="0" borderId="136" xfId="0" applyFont="1" applyBorder="1" applyAlignment="1">
      <alignment horizontal="justify" vertical="center" wrapText="1"/>
    </xf>
    <xf numFmtId="0" fontId="65" fillId="0" borderId="137" xfId="0" applyFont="1" applyBorder="1" applyAlignment="1">
      <alignment horizontal="justify" vertical="center" wrapText="1"/>
    </xf>
    <xf numFmtId="0" fontId="65" fillId="0" borderId="138" xfId="0" applyFont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65" fillId="0" borderId="140" xfId="0" applyFont="1" applyBorder="1" applyAlignment="1">
      <alignment horizontal="center" vertical="center" wrapText="1"/>
    </xf>
    <xf numFmtId="0" fontId="67" fillId="0" borderId="140" xfId="0" applyFont="1" applyBorder="1" applyAlignment="1">
      <alignment horizontal="center" vertical="center" wrapText="1"/>
    </xf>
    <xf numFmtId="0" fontId="0" fillId="0" borderId="140" xfId="0" applyBorder="1" applyAlignment="1">
      <alignment vertical="top" wrapText="1"/>
    </xf>
    <xf numFmtId="0" fontId="0" fillId="0" borderId="139" xfId="0" applyBorder="1" applyAlignment="1">
      <alignment vertical="top" wrapText="1"/>
    </xf>
    <xf numFmtId="0" fontId="68" fillId="0" borderId="140" xfId="0" applyFont="1" applyBorder="1" applyAlignment="1">
      <alignment horizontal="center" vertical="center" wrapText="1"/>
    </xf>
    <xf numFmtId="0" fontId="68" fillId="0" borderId="140" xfId="0" applyFont="1" applyBorder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0" borderId="140" xfId="0" applyFont="1" applyBorder="1" applyAlignment="1">
      <alignment horizontal="center" vertical="center" wrapText="1"/>
    </xf>
    <xf numFmtId="0" fontId="66" fillId="0" borderId="142" xfId="0" applyFont="1" applyBorder="1" applyAlignment="1">
      <alignment horizontal="center" vertical="center" wrapText="1"/>
    </xf>
    <xf numFmtId="0" fontId="66" fillId="0" borderId="141" xfId="0" applyFont="1" applyBorder="1" applyAlignment="1">
      <alignment horizontal="center" vertical="center" wrapText="1"/>
    </xf>
    <xf numFmtId="0" fontId="66" fillId="0" borderId="144" xfId="0" applyFont="1" applyBorder="1" applyAlignment="1">
      <alignment horizontal="center" vertical="center" wrapText="1"/>
    </xf>
    <xf numFmtId="0" fontId="0" fillId="0" borderId="143" xfId="0" applyBorder="1" applyAlignment="1">
      <alignment vertical="top" wrapText="1"/>
    </xf>
    <xf numFmtId="0" fontId="67" fillId="0" borderId="139" xfId="0" applyFont="1" applyBorder="1" applyAlignment="1">
      <alignment horizontal="center" vertical="center" wrapText="1"/>
    </xf>
    <xf numFmtId="0" fontId="67" fillId="0" borderId="142" xfId="0" applyFont="1" applyBorder="1" applyAlignment="1">
      <alignment horizontal="center" vertical="center" wrapText="1"/>
    </xf>
    <xf numFmtId="0" fontId="67" fillId="0" borderId="141" xfId="0" applyFont="1" applyBorder="1" applyAlignment="1">
      <alignment horizontal="center" vertical="center" wrapText="1"/>
    </xf>
    <xf numFmtId="0" fontId="67" fillId="0" borderId="144" xfId="0" applyFont="1" applyBorder="1" applyAlignment="1">
      <alignment horizontal="center" vertical="center" wrapText="1"/>
    </xf>
    <xf numFmtId="0" fontId="66" fillId="0" borderId="139" xfId="0" applyFont="1" applyBorder="1" applyAlignment="1">
      <alignment horizontal="center" vertical="center" wrapText="1"/>
    </xf>
    <xf numFmtId="0" fontId="68" fillId="0" borderId="142" xfId="0" applyFont="1" applyBorder="1" applyAlignment="1">
      <alignment horizontal="center" vertical="center" wrapText="1"/>
    </xf>
    <xf numFmtId="0" fontId="68" fillId="0" borderId="144" xfId="0" applyFont="1" applyBorder="1" applyAlignment="1">
      <alignment horizontal="center" vertical="center" wrapText="1"/>
    </xf>
    <xf numFmtId="0" fontId="0" fillId="0" borderId="141" xfId="0" applyBorder="1" applyAlignment="1">
      <alignment vertical="top" wrapText="1"/>
    </xf>
    <xf numFmtId="0" fontId="65" fillId="0" borderId="146" xfId="0" applyFont="1" applyBorder="1" applyAlignment="1">
      <alignment horizontal="center" vertical="center" wrapText="1"/>
    </xf>
    <xf numFmtId="0" fontId="67" fillId="0" borderId="146" xfId="0" applyFont="1" applyBorder="1" applyAlignment="1">
      <alignment horizontal="center" vertical="center" wrapText="1"/>
    </xf>
    <xf numFmtId="0" fontId="65" fillId="0" borderId="145" xfId="0" applyFont="1" applyBorder="1" applyAlignment="1">
      <alignment horizontal="center" vertical="center" wrapText="1"/>
    </xf>
    <xf numFmtId="0" fontId="0" fillId="0" borderId="147" xfId="0" applyBorder="1" applyAlignment="1">
      <alignment vertical="top" wrapText="1"/>
    </xf>
    <xf numFmtId="0" fontId="0" fillId="0" borderId="144" xfId="0" applyBorder="1" applyAlignment="1">
      <alignment vertical="top" wrapText="1"/>
    </xf>
    <xf numFmtId="0" fontId="0" fillId="0" borderId="145" xfId="0" applyBorder="1" applyAlignment="1">
      <alignment vertical="top" wrapText="1"/>
    </xf>
    <xf numFmtId="0" fontId="65" fillId="0" borderId="139" xfId="0" applyFont="1" applyBorder="1" applyAlignment="1">
      <alignment horizontal="center" vertical="center" wrapText="1"/>
    </xf>
    <xf numFmtId="0" fontId="66" fillId="0" borderId="139" xfId="0" applyFont="1" applyBorder="1" applyAlignment="1">
      <alignment horizontal="justify" vertical="center" wrapText="1"/>
    </xf>
    <xf numFmtId="0" fontId="68" fillId="0" borderId="141" xfId="0" applyFont="1" applyBorder="1" applyAlignment="1">
      <alignment horizontal="center" vertical="center" wrapText="1"/>
    </xf>
    <xf numFmtId="0" fontId="66" fillId="0" borderId="143" xfId="0" applyFont="1" applyBorder="1" applyAlignment="1">
      <alignment horizontal="center" vertical="center" wrapText="1"/>
    </xf>
    <xf numFmtId="0" fontId="67" fillId="0" borderId="139" xfId="0" applyFont="1" applyBorder="1" applyAlignment="1">
      <alignment horizontal="justify" vertical="center" wrapText="1"/>
    </xf>
    <xf numFmtId="0" fontId="66" fillId="0" borderId="140" xfId="0" applyFont="1" applyBorder="1" applyAlignment="1">
      <alignment horizontal="justify" vertical="center" wrapText="1"/>
    </xf>
    <xf numFmtId="0" fontId="0" fillId="0" borderId="142" xfId="0" applyBorder="1" applyAlignment="1">
      <alignment vertical="top" wrapText="1"/>
    </xf>
    <xf numFmtId="0" fontId="0" fillId="0" borderId="146" xfId="0" applyBorder="1" applyAlignment="1">
      <alignment vertical="top" wrapText="1"/>
    </xf>
    <xf numFmtId="0" fontId="67" fillId="0" borderId="145" xfId="0" applyFont="1" applyBorder="1" applyAlignment="1">
      <alignment horizontal="center" vertical="center" wrapText="1"/>
    </xf>
    <xf numFmtId="0" fontId="66" fillId="0" borderId="147" xfId="0" applyFont="1" applyBorder="1" applyAlignment="1">
      <alignment horizontal="center" vertical="center" wrapText="1"/>
    </xf>
    <xf numFmtId="0" fontId="67" fillId="0" borderId="143" xfId="0" applyFont="1" applyBorder="1" applyAlignment="1">
      <alignment horizontal="center" vertical="center" wrapText="1"/>
    </xf>
    <xf numFmtId="0" fontId="66" fillId="24" borderId="140" xfId="0" applyFont="1" applyFill="1" applyBorder="1" applyAlignment="1">
      <alignment horizontal="center" vertical="center" wrapText="1"/>
    </xf>
    <xf numFmtId="0" fontId="66" fillId="24" borderId="139" xfId="0" applyFont="1" applyFill="1" applyBorder="1" applyAlignment="1">
      <alignment horizontal="center" vertical="center" wrapText="1"/>
    </xf>
    <xf numFmtId="0" fontId="66" fillId="24" borderId="142" xfId="0" applyFont="1" applyFill="1" applyBorder="1" applyAlignment="1">
      <alignment horizontal="center" vertical="center" wrapText="1"/>
    </xf>
    <xf numFmtId="0" fontId="66" fillId="24" borderId="141" xfId="0" applyFont="1" applyFill="1" applyBorder="1" applyAlignment="1">
      <alignment horizontal="center" vertical="center" wrapText="1"/>
    </xf>
    <xf numFmtId="0" fontId="66" fillId="23" borderId="140" xfId="0" applyFont="1" applyFill="1" applyBorder="1" applyAlignment="1">
      <alignment horizontal="center" vertical="center" wrapText="1"/>
    </xf>
    <xf numFmtId="0" fontId="20" fillId="0" borderId="0" xfId="31" applyFont="1" applyFill="1" applyBorder="1" applyAlignment="1">
      <alignment horizontal="center" vertical="center"/>
    </xf>
    <xf numFmtId="0" fontId="21" fillId="0" borderId="0" xfId="28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8" borderId="153" xfId="0" applyFill="1" applyBorder="1"/>
    <xf numFmtId="0" fontId="7" fillId="8" borderId="0" xfId="0" applyFont="1" applyFill="1"/>
    <xf numFmtId="0" fontId="0" fillId="0" borderId="0" xfId="0" applyFill="1" applyBorder="1" applyAlignment="1">
      <alignment horizontal="center"/>
    </xf>
    <xf numFmtId="0" fontId="0" fillId="0" borderId="153" xfId="0" applyFill="1" applyBorder="1"/>
    <xf numFmtId="0" fontId="0" fillId="0" borderId="153" xfId="0" applyFill="1" applyBorder="1" applyAlignment="1">
      <alignment horizontal="center"/>
    </xf>
    <xf numFmtId="0" fontId="0" fillId="18" borderId="153" xfId="0" applyFill="1" applyBorder="1"/>
    <xf numFmtId="0" fontId="49" fillId="18" borderId="0" xfId="0" applyFont="1" applyFill="1"/>
    <xf numFmtId="0" fontId="56" fillId="17" borderId="113" xfId="0" applyFont="1" applyFill="1" applyBorder="1" applyAlignment="1">
      <alignment horizontal="center" vertical="center" wrapText="1"/>
    </xf>
    <xf numFmtId="16" fontId="56" fillId="17" borderId="11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7" fillId="3" borderId="25" xfId="0" applyFont="1" applyFill="1" applyBorder="1"/>
    <xf numFmtId="0" fontId="0" fillId="3" borderId="157" xfId="0" applyFill="1" applyBorder="1"/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106" xfId="0" applyBorder="1"/>
    <xf numFmtId="0" fontId="0" fillId="0" borderId="161" xfId="0" applyBorder="1"/>
    <xf numFmtId="0" fontId="0" fillId="0" borderId="30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8" borderId="153" xfId="0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18" borderId="153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63" xfId="0" applyBorder="1" applyAlignment="1">
      <alignment horizontal="center"/>
    </xf>
    <xf numFmtId="0" fontId="7" fillId="3" borderId="22" xfId="0" applyFont="1" applyFill="1" applyBorder="1"/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1" fillId="27" borderId="0" xfId="31" applyFont="1" applyFill="1" applyBorder="1" applyAlignment="1">
      <alignment horizontal="left" vertical="center"/>
    </xf>
    <xf numFmtId="0" fontId="22" fillId="27" borderId="0" xfId="31" applyFont="1" applyFill="1" applyAlignment="1">
      <alignment vertical="center"/>
    </xf>
    <xf numFmtId="0" fontId="21" fillId="27" borderId="0" xfId="31" applyFont="1" applyFill="1" applyAlignment="1">
      <alignment vertical="center"/>
    </xf>
    <xf numFmtId="4" fontId="21" fillId="27" borderId="0" xfId="28" applyNumberFormat="1" applyFont="1" applyFill="1" applyBorder="1" applyAlignment="1">
      <alignment horizontal="right" vertical="center"/>
    </xf>
    <xf numFmtId="0" fontId="0" fillId="0" borderId="167" xfId="0" applyBorder="1"/>
    <xf numFmtId="0" fontId="22" fillId="0" borderId="160" xfId="28" applyFont="1" applyFill="1" applyBorder="1" applyAlignment="1">
      <alignment vertical="center"/>
    </xf>
    <xf numFmtId="0" fontId="21" fillId="29" borderId="166" xfId="28" applyFont="1" applyFill="1" applyBorder="1" applyAlignment="1">
      <alignment horizontal="center" vertical="center"/>
    </xf>
    <xf numFmtId="0" fontId="21" fillId="29" borderId="166" xfId="28" applyFont="1" applyFill="1" applyBorder="1" applyAlignment="1">
      <alignment horizontal="center" vertical="center" wrapText="1"/>
    </xf>
    <xf numFmtId="0" fontId="22" fillId="0" borderId="33" xfId="31" applyFont="1" applyFill="1" applyBorder="1" applyAlignment="1">
      <alignment horizontal="left" vertical="center"/>
    </xf>
    <xf numFmtId="0" fontId="0" fillId="0" borderId="0" xfId="0" applyNumberFormat="1"/>
    <xf numFmtId="0" fontId="21" fillId="28" borderId="0" xfId="28" applyFont="1" applyFill="1" applyAlignment="1">
      <alignment horizontal="center" vertical="center"/>
    </xf>
    <xf numFmtId="0" fontId="22" fillId="28" borderId="173" xfId="28" applyNumberFormat="1" applyFont="1" applyFill="1" applyBorder="1" applyAlignment="1">
      <alignment horizontal="center"/>
    </xf>
    <xf numFmtId="0" fontId="21" fillId="28" borderId="131" xfId="170" applyFont="1" applyFill="1" applyBorder="1" applyAlignment="1">
      <alignment horizontal="center" vertical="center" wrapText="1"/>
    </xf>
    <xf numFmtId="0" fontId="21" fillId="28" borderId="131" xfId="170" applyFont="1" applyFill="1" applyBorder="1" applyAlignment="1">
      <alignment horizontal="right" vertical="center" wrapText="1"/>
    </xf>
    <xf numFmtId="0" fontId="22" fillId="28" borderId="129" xfId="170" applyFont="1" applyFill="1" applyBorder="1" applyAlignment="1">
      <alignment horizontal="center" vertical="center"/>
    </xf>
    <xf numFmtId="2" fontId="22" fillId="28" borderId="129" xfId="170" applyNumberFormat="1" applyFont="1" applyFill="1" applyBorder="1" applyAlignment="1">
      <alignment horizontal="center" vertical="center"/>
    </xf>
    <xf numFmtId="2" fontId="22" fillId="28" borderId="129" xfId="170" applyNumberFormat="1" applyFont="1" applyFill="1" applyBorder="1" applyAlignment="1">
      <alignment horizontal="right" vertical="center"/>
    </xf>
    <xf numFmtId="2" fontId="22" fillId="28" borderId="129" xfId="69" applyNumberFormat="1" applyFont="1" applyFill="1" applyBorder="1" applyAlignment="1">
      <alignment horizontal="right" vertical="center"/>
    </xf>
    <xf numFmtId="2" fontId="22" fillId="28" borderId="129" xfId="69" applyNumberFormat="1" applyFont="1" applyFill="1" applyBorder="1" applyAlignment="1">
      <alignment vertical="center"/>
    </xf>
    <xf numFmtId="43" fontId="22" fillId="28" borderId="129" xfId="170" applyNumberFormat="1" applyFont="1" applyFill="1" applyBorder="1" applyAlignment="1">
      <alignment horizontal="right" vertical="center"/>
    </xf>
    <xf numFmtId="43" fontId="22" fillId="28" borderId="129" xfId="69" applyNumberFormat="1" applyFont="1" applyFill="1" applyBorder="1" applyAlignment="1">
      <alignment vertical="center"/>
    </xf>
    <xf numFmtId="165" fontId="22" fillId="28" borderId="129" xfId="28" applyNumberFormat="1" applyFont="1" applyFill="1" applyBorder="1" applyAlignment="1">
      <alignment horizontal="right" vertical="center"/>
    </xf>
    <xf numFmtId="4" fontId="21" fillId="28" borderId="169" xfId="28" applyNumberFormat="1" applyFont="1" applyFill="1" applyBorder="1" applyAlignment="1">
      <alignment horizontal="right" vertical="center"/>
    </xf>
    <xf numFmtId="176" fontId="22" fillId="28" borderId="0" xfId="169" applyFont="1" applyFill="1" applyAlignment="1">
      <alignment vertical="center"/>
    </xf>
    <xf numFmtId="176" fontId="21" fillId="28" borderId="0" xfId="169" applyFont="1" applyFill="1" applyAlignment="1">
      <alignment horizontal="left" vertical="center"/>
    </xf>
    <xf numFmtId="176" fontId="22" fillId="28" borderId="0" xfId="169" applyFont="1" applyFill="1" applyBorder="1" applyAlignment="1">
      <alignment vertical="center"/>
    </xf>
    <xf numFmtId="176" fontId="21" fillId="28" borderId="0" xfId="169" applyFont="1" applyFill="1" applyAlignment="1">
      <alignment vertical="center"/>
    </xf>
    <xf numFmtId="2" fontId="21" fillId="28" borderId="0" xfId="169" applyNumberFormat="1" applyFont="1" applyFill="1" applyBorder="1" applyAlignment="1">
      <alignment horizontal="left" vertical="center"/>
    </xf>
    <xf numFmtId="2" fontId="22" fillId="28" borderId="33" xfId="169" applyNumberFormat="1" applyFont="1" applyFill="1" applyBorder="1" applyAlignment="1">
      <alignment horizontal="right" vertical="center"/>
    </xf>
    <xf numFmtId="0" fontId="21" fillId="28" borderId="33" xfId="28" applyFont="1" applyFill="1" applyBorder="1" applyAlignment="1">
      <alignment horizontal="center" vertical="center"/>
    </xf>
    <xf numFmtId="2" fontId="21" fillId="0" borderId="0" xfId="169" applyNumberFormat="1" applyFont="1" applyFill="1" applyBorder="1" applyAlignment="1">
      <alignment horizontal="left" vertical="center"/>
    </xf>
    <xf numFmtId="2" fontId="22" fillId="0" borderId="33" xfId="169" applyNumberFormat="1" applyFont="1" applyFill="1" applyBorder="1" applyAlignment="1">
      <alignment horizontal="right" vertical="center"/>
    </xf>
    <xf numFmtId="0" fontId="21" fillId="0" borderId="168" xfId="28" applyFont="1" applyFill="1" applyBorder="1" applyAlignment="1">
      <alignment horizontal="center" vertical="center" wrapText="1"/>
    </xf>
    <xf numFmtId="165" fontId="22" fillId="0" borderId="169" xfId="28" applyNumberFormat="1" applyFont="1" applyFill="1" applyBorder="1" applyAlignment="1">
      <alignment horizontal="right" vertical="center"/>
    </xf>
    <xf numFmtId="165" fontId="22" fillId="0" borderId="131" xfId="28" applyNumberFormat="1" applyFont="1" applyFill="1" applyBorder="1" applyAlignment="1">
      <alignment horizontal="right" vertical="center"/>
    </xf>
    <xf numFmtId="0" fontId="0" fillId="0" borderId="191" xfId="0" applyBorder="1"/>
    <xf numFmtId="0" fontId="0" fillId="0" borderId="190" xfId="0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0" xfId="0" applyFill="1" applyBorder="1" applyAlignment="1">
      <alignment horizontal="center"/>
    </xf>
    <xf numFmtId="0" fontId="0" fillId="0" borderId="0" xfId="0"/>
    <xf numFmtId="0" fontId="0" fillId="0" borderId="0" xfId="0" applyFill="1"/>
    <xf numFmtId="43" fontId="22" fillId="0" borderId="129" xfId="26" applyFont="1" applyFill="1" applyBorder="1" applyAlignment="1">
      <alignment vertical="center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188" xfId="0" applyFill="1" applyBorder="1"/>
    <xf numFmtId="0" fontId="0" fillId="0" borderId="187" xfId="0" applyFill="1" applyBorder="1" applyAlignment="1">
      <alignment horizontal="center"/>
    </xf>
    <xf numFmtId="0" fontId="0" fillId="0" borderId="189" xfId="0" applyFill="1" applyBorder="1" applyAlignment="1">
      <alignment horizontal="center"/>
    </xf>
    <xf numFmtId="0" fontId="0" fillId="0" borderId="164" xfId="0" applyFill="1" applyBorder="1"/>
    <xf numFmtId="0" fontId="0" fillId="0" borderId="170" xfId="0" applyFill="1" applyBorder="1" applyAlignment="1">
      <alignment horizontal="center"/>
    </xf>
    <xf numFmtId="0" fontId="0" fillId="0" borderId="165" xfId="0" applyFill="1" applyBorder="1" applyAlignment="1">
      <alignment horizontal="center"/>
    </xf>
    <xf numFmtId="0" fontId="0" fillId="0" borderId="177" xfId="0" applyFill="1" applyBorder="1" applyAlignment="1">
      <alignment horizontal="center"/>
    </xf>
    <xf numFmtId="0" fontId="0" fillId="0" borderId="183" xfId="0" applyFill="1" applyBorder="1" applyAlignment="1">
      <alignment horizontal="center"/>
    </xf>
    <xf numFmtId="0" fontId="0" fillId="0" borderId="185" xfId="0" applyFill="1" applyBorder="1"/>
    <xf numFmtId="0" fontId="0" fillId="0" borderId="184" xfId="0" applyFill="1" applyBorder="1" applyAlignment="1">
      <alignment horizontal="center"/>
    </xf>
    <xf numFmtId="0" fontId="0" fillId="0" borderId="186" xfId="0" applyFill="1" applyBorder="1" applyAlignment="1">
      <alignment horizontal="center"/>
    </xf>
    <xf numFmtId="0" fontId="0" fillId="0" borderId="191" xfId="0" applyFill="1" applyBorder="1"/>
    <xf numFmtId="0" fontId="0" fillId="0" borderId="192" xfId="0" applyFill="1" applyBorder="1"/>
    <xf numFmtId="176" fontId="81" fillId="0" borderId="0" xfId="169" applyFont="1" applyFill="1" applyAlignment="1">
      <alignment vertical="center"/>
    </xf>
    <xf numFmtId="0" fontId="0" fillId="0" borderId="207" xfId="0" applyFill="1" applyBorder="1" applyAlignment="1">
      <alignment horizontal="left"/>
    </xf>
    <xf numFmtId="0" fontId="0" fillId="0" borderId="207" xfId="0" applyFill="1" applyBorder="1" applyAlignment="1">
      <alignment horizontal="center"/>
    </xf>
    <xf numFmtId="0" fontId="0" fillId="0" borderId="0" xfId="0" applyNumberFormat="1" applyFill="1"/>
    <xf numFmtId="0" fontId="0" fillId="8" borderId="176" xfId="0" applyFill="1" applyBorder="1"/>
    <xf numFmtId="0" fontId="0" fillId="8" borderId="178" xfId="0" applyFill="1" applyBorder="1" applyAlignment="1">
      <alignment horizontal="center"/>
    </xf>
    <xf numFmtId="0" fontId="0" fillId="8" borderId="180" xfId="0" applyFill="1" applyBorder="1" applyAlignment="1">
      <alignment horizontal="center"/>
    </xf>
    <xf numFmtId="0" fontId="0" fillId="25" borderId="176" xfId="0" applyFill="1" applyBorder="1"/>
    <xf numFmtId="0" fontId="0" fillId="25" borderId="178" xfId="0" applyFill="1" applyBorder="1" applyAlignment="1">
      <alignment horizontal="center"/>
    </xf>
    <xf numFmtId="0" fontId="0" fillId="25" borderId="180" xfId="0" applyFill="1" applyBorder="1" applyAlignment="1">
      <alignment horizontal="center"/>
    </xf>
    <xf numFmtId="0" fontId="0" fillId="8" borderId="181" xfId="0" applyFill="1" applyBorder="1" applyAlignment="1">
      <alignment horizontal="center"/>
    </xf>
    <xf numFmtId="0" fontId="0" fillId="8" borderId="182" xfId="0" applyFill="1" applyBorder="1" applyAlignment="1">
      <alignment horizontal="center"/>
    </xf>
    <xf numFmtId="0" fontId="0" fillId="8" borderId="184" xfId="0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 horizontal="left"/>
    </xf>
    <xf numFmtId="0" fontId="0" fillId="25" borderId="207" xfId="0" applyFill="1" applyBorder="1" applyAlignment="1">
      <alignment horizontal="left"/>
    </xf>
    <xf numFmtId="0" fontId="0" fillId="25" borderId="207" xfId="0" applyFill="1" applyBorder="1" applyAlignment="1">
      <alignment horizontal="center"/>
    </xf>
    <xf numFmtId="0" fontId="21" fillId="0" borderId="0" xfId="31" applyFont="1" applyFill="1" applyAlignment="1">
      <alignment vertical="center"/>
    </xf>
    <xf numFmtId="0" fontId="21" fillId="0" borderId="0" xfId="31" applyFont="1" applyFill="1" applyBorder="1" applyAlignment="1">
      <alignment horizontal="left" vertical="center"/>
    </xf>
    <xf numFmtId="0" fontId="22" fillId="0" borderId="33" xfId="31" applyFont="1" applyFill="1" applyBorder="1" applyAlignment="1">
      <alignment horizontal="right" vertical="center"/>
    </xf>
    <xf numFmtId="0" fontId="21" fillId="0" borderId="129" xfId="28" applyFont="1" applyFill="1" applyBorder="1" applyAlignment="1">
      <alignment horizontal="center" vertical="center"/>
    </xf>
    <xf numFmtId="2" fontId="21" fillId="0" borderId="129" xfId="28" applyNumberFormat="1" applyFont="1" applyFill="1" applyBorder="1" applyAlignment="1">
      <alignment horizontal="right" vertical="center"/>
    </xf>
    <xf numFmtId="9" fontId="21" fillId="0" borderId="129" xfId="30" applyFont="1" applyFill="1" applyBorder="1" applyAlignment="1">
      <alignment horizontal="center" vertical="center"/>
    </xf>
    <xf numFmtId="4" fontId="21" fillId="0" borderId="0" xfId="28" applyNumberFormat="1" applyFont="1" applyFill="1" applyBorder="1" applyAlignment="1">
      <alignment horizontal="right" vertical="center"/>
    </xf>
    <xf numFmtId="0" fontId="21" fillId="0" borderId="168" xfId="28" applyFont="1" applyFill="1" applyBorder="1" applyAlignment="1">
      <alignment horizontal="center" vertical="center"/>
    </xf>
    <xf numFmtId="0" fontId="22" fillId="0" borderId="129" xfId="170" applyFont="1" applyFill="1" applyBorder="1" applyAlignment="1">
      <alignment horizontal="center" vertical="center"/>
    </xf>
    <xf numFmtId="0" fontId="22" fillId="0" borderId="0" xfId="28" applyFont="1" applyFill="1" applyAlignment="1">
      <alignment horizontal="center" vertical="center"/>
    </xf>
    <xf numFmtId="4" fontId="21" fillId="0" borderId="169" xfId="28" applyNumberFormat="1" applyFont="1" applyFill="1" applyBorder="1" applyAlignment="1">
      <alignment horizontal="right" vertical="center"/>
    </xf>
    <xf numFmtId="0" fontId="22" fillId="0" borderId="173" xfId="28" applyNumberFormat="1" applyFont="1" applyFill="1" applyBorder="1" applyAlignment="1">
      <alignment horizontal="center"/>
    </xf>
    <xf numFmtId="176" fontId="22" fillId="0" borderId="0" xfId="169" applyFont="1" applyFill="1" applyAlignment="1">
      <alignment vertical="center"/>
    </xf>
    <xf numFmtId="176" fontId="21" fillId="0" borderId="0" xfId="169" applyFont="1" applyFill="1" applyAlignment="1">
      <alignment horizontal="left" vertical="center"/>
    </xf>
    <xf numFmtId="176" fontId="22" fillId="0" borderId="0" xfId="169" applyFont="1" applyFill="1" applyBorder="1" applyAlignment="1">
      <alignment vertical="center"/>
    </xf>
    <xf numFmtId="176" fontId="21" fillId="0" borderId="0" xfId="169" applyFont="1" applyFill="1" applyAlignment="1">
      <alignment vertical="center"/>
    </xf>
    <xf numFmtId="2" fontId="21" fillId="0" borderId="0" xfId="169" applyNumberFormat="1" applyFont="1" applyFill="1" applyBorder="1" applyAlignment="1">
      <alignment horizontal="center" vertical="center"/>
    </xf>
    <xf numFmtId="0" fontId="21" fillId="0" borderId="131" xfId="170" applyFont="1" applyFill="1" applyBorder="1" applyAlignment="1">
      <alignment horizontal="right" vertical="center" wrapText="1"/>
    </xf>
    <xf numFmtId="2" fontId="22" fillId="0" borderId="129" xfId="170" applyNumberFormat="1" applyFont="1" applyFill="1" applyBorder="1" applyAlignment="1">
      <alignment horizontal="center" vertical="center"/>
    </xf>
    <xf numFmtId="2" fontId="22" fillId="0" borderId="129" xfId="170" applyNumberFormat="1" applyFont="1" applyFill="1" applyBorder="1" applyAlignment="1">
      <alignment horizontal="right" vertical="center"/>
    </xf>
    <xf numFmtId="2" fontId="22" fillId="0" borderId="129" xfId="69" applyNumberFormat="1" applyFont="1" applyFill="1" applyBorder="1" applyAlignment="1">
      <alignment horizontal="right" vertical="center"/>
    </xf>
    <xf numFmtId="2" fontId="22" fillId="0" borderId="129" xfId="69" applyNumberFormat="1" applyFont="1" applyFill="1" applyBorder="1" applyAlignment="1">
      <alignment vertical="center"/>
    </xf>
    <xf numFmtId="43" fontId="22" fillId="0" borderId="129" xfId="170" applyNumberFormat="1" applyFont="1" applyFill="1" applyBorder="1" applyAlignment="1">
      <alignment horizontal="right" vertical="center"/>
    </xf>
    <xf numFmtId="43" fontId="22" fillId="0" borderId="129" xfId="69" applyNumberFormat="1" applyFont="1" applyFill="1" applyBorder="1" applyAlignment="1">
      <alignment vertical="center"/>
    </xf>
    <xf numFmtId="0" fontId="21" fillId="0" borderId="131" xfId="170" applyFont="1" applyFill="1" applyBorder="1" applyAlignment="1">
      <alignment horizontal="center" vertical="center" wrapText="1"/>
    </xf>
    <xf numFmtId="0" fontId="22" fillId="0" borderId="131" xfId="170" applyFont="1" applyFill="1" applyBorder="1" applyAlignment="1">
      <alignment horizontal="right" vertical="center" wrapText="1"/>
    </xf>
    <xf numFmtId="0" fontId="22" fillId="0" borderId="267" xfId="28" applyFont="1" applyFill="1" applyBorder="1" applyAlignment="1">
      <alignment horizontal="right" vertical="center" wrapText="1"/>
    </xf>
    <xf numFmtId="0" fontId="22" fillId="0" borderId="267" xfId="28" applyFont="1" applyFill="1" applyBorder="1" applyAlignment="1">
      <alignment vertical="center"/>
    </xf>
    <xf numFmtId="0" fontId="22" fillId="0" borderId="267" xfId="28" applyFont="1" applyFill="1" applyBorder="1" applyAlignment="1">
      <alignment horizontal="center" vertical="center"/>
    </xf>
    <xf numFmtId="0" fontId="22" fillId="0" borderId="267" xfId="28" applyFont="1" applyFill="1" applyBorder="1" applyAlignment="1">
      <alignment horizontal="right" vertical="center"/>
    </xf>
    <xf numFmtId="4" fontId="21" fillId="0" borderId="268" xfId="28" applyNumberFormat="1" applyFont="1" applyFill="1" applyBorder="1" applyAlignment="1">
      <alignment horizontal="right" vertical="center"/>
    </xf>
    <xf numFmtId="4" fontId="21" fillId="0" borderId="266" xfId="28" applyNumberFormat="1" applyFont="1" applyFill="1" applyBorder="1" applyAlignment="1" applyProtection="1">
      <alignment horizontal="center"/>
      <protection locked="0"/>
    </xf>
    <xf numFmtId="4" fontId="21" fillId="0" borderId="215" xfId="28" applyNumberFormat="1" applyFont="1" applyFill="1" applyBorder="1" applyAlignment="1" applyProtection="1">
      <alignment horizontal="center"/>
      <protection locked="0"/>
    </xf>
    <xf numFmtId="43" fontId="21" fillId="0" borderId="215" xfId="28" applyNumberFormat="1" applyFont="1" applyFill="1" applyBorder="1" applyAlignment="1" applyProtection="1">
      <alignment horizontal="center" wrapText="1"/>
      <protection locked="0"/>
    </xf>
    <xf numFmtId="165" fontId="21" fillId="0" borderId="215" xfId="28" applyNumberFormat="1" applyFont="1" applyFill="1" applyBorder="1" applyAlignment="1" applyProtection="1">
      <alignment horizontal="center"/>
      <protection locked="0"/>
    </xf>
    <xf numFmtId="43" fontId="21" fillId="0" borderId="215" xfId="28" applyNumberFormat="1" applyFont="1" applyFill="1" applyBorder="1" applyAlignment="1" applyProtection="1">
      <alignment horizontal="center"/>
      <protection locked="0"/>
    </xf>
    <xf numFmtId="0" fontId="21" fillId="0" borderId="215" xfId="28" applyFont="1" applyFill="1" applyBorder="1" applyAlignment="1" applyProtection="1">
      <alignment horizontal="center"/>
      <protection locked="0"/>
    </xf>
    <xf numFmtId="4" fontId="22" fillId="0" borderId="266" xfId="28" applyNumberFormat="1" applyFont="1" applyFill="1" applyBorder="1" applyAlignment="1" applyProtection="1">
      <alignment horizontal="right" vertical="center"/>
      <protection locked="0"/>
    </xf>
    <xf numFmtId="4" fontId="22" fillId="0" borderId="215" xfId="28" applyNumberFormat="1" applyFont="1" applyFill="1" applyBorder="1" applyAlignment="1" applyProtection="1">
      <alignment horizontal="right" vertical="center"/>
      <protection locked="0"/>
    </xf>
    <xf numFmtId="4" fontId="48" fillId="0" borderId="215" xfId="31" applyNumberFormat="1" applyFont="1" applyFill="1" applyBorder="1" applyAlignment="1">
      <alignment horizontal="center" vertical="center"/>
    </xf>
    <xf numFmtId="4" fontId="23" fillId="0" borderId="215" xfId="31" applyNumberFormat="1" applyFont="1" applyFill="1" applyBorder="1" applyAlignment="1">
      <alignment horizontal="center" vertical="center"/>
    </xf>
    <xf numFmtId="2" fontId="48" fillId="0" borderId="215" xfId="31" applyNumberFormat="1" applyFont="1" applyFill="1" applyBorder="1" applyAlignment="1">
      <alignment horizontal="center" vertical="center"/>
    </xf>
    <xf numFmtId="2" fontId="23" fillId="0" borderId="215" xfId="31" applyNumberFormat="1" applyFont="1" applyFill="1" applyBorder="1" applyAlignment="1">
      <alignment horizontal="center" vertical="center"/>
    </xf>
    <xf numFmtId="0" fontId="21" fillId="8" borderId="131" xfId="170" applyFont="1" applyFill="1" applyBorder="1" applyAlignment="1">
      <alignment horizontal="center" vertical="center" wrapText="1"/>
    </xf>
    <xf numFmtId="4" fontId="21" fillId="8" borderId="169" xfId="28" applyNumberFormat="1" applyFont="1" applyFill="1" applyBorder="1" applyAlignment="1">
      <alignment horizontal="right" vertical="center"/>
    </xf>
    <xf numFmtId="176" fontId="22" fillId="8" borderId="0" xfId="169" applyFont="1" applyFill="1" applyAlignment="1">
      <alignment vertical="center"/>
    </xf>
    <xf numFmtId="176" fontId="21" fillId="8" borderId="0" xfId="169" applyFont="1" applyFill="1" applyAlignment="1">
      <alignment horizontal="left" vertical="center"/>
    </xf>
    <xf numFmtId="176" fontId="22" fillId="8" borderId="0" xfId="169" applyFont="1" applyFill="1" applyBorder="1" applyAlignment="1">
      <alignment vertical="center"/>
    </xf>
    <xf numFmtId="176" fontId="21" fillId="8" borderId="0" xfId="169" applyFont="1" applyFill="1" applyAlignment="1">
      <alignment vertical="center"/>
    </xf>
    <xf numFmtId="0" fontId="22" fillId="8" borderId="131" xfId="170" applyFont="1" applyFill="1" applyBorder="1" applyAlignment="1">
      <alignment horizontal="right" vertical="center" wrapText="1"/>
    </xf>
    <xf numFmtId="2" fontId="21" fillId="8" borderId="0" xfId="169" applyNumberFormat="1" applyFont="1" applyFill="1" applyBorder="1" applyAlignment="1">
      <alignment horizontal="center" vertical="center"/>
    </xf>
    <xf numFmtId="0" fontId="21" fillId="8" borderId="129" xfId="28" applyFont="1" applyFill="1" applyBorder="1" applyAlignment="1">
      <alignment horizontal="center" vertical="center"/>
    </xf>
    <xf numFmtId="9" fontId="21" fillId="8" borderId="129" xfId="30" applyFont="1" applyFill="1" applyBorder="1" applyAlignment="1">
      <alignment horizontal="center" vertical="center"/>
    </xf>
    <xf numFmtId="2" fontId="21" fillId="8" borderId="129" xfId="28" applyNumberFormat="1" applyFont="1" applyFill="1" applyBorder="1" applyAlignment="1">
      <alignment horizontal="right" vertical="center"/>
    </xf>
    <xf numFmtId="165" fontId="21" fillId="8" borderId="129" xfId="28" applyNumberFormat="1" applyFont="1" applyFill="1" applyBorder="1" applyAlignment="1">
      <alignment horizontal="right" vertical="center"/>
    </xf>
    <xf numFmtId="4" fontId="21" fillId="8" borderId="0" xfId="28" applyNumberFormat="1" applyFont="1" applyFill="1" applyBorder="1" applyAlignment="1">
      <alignment horizontal="right" vertical="center"/>
    </xf>
    <xf numFmtId="0" fontId="21" fillId="8" borderId="0" xfId="31" applyFont="1" applyFill="1" applyBorder="1" applyAlignment="1">
      <alignment horizontal="left" vertical="center"/>
    </xf>
    <xf numFmtId="0" fontId="22" fillId="8" borderId="33" xfId="31" applyFont="1" applyFill="1" applyBorder="1" applyAlignment="1">
      <alignment horizontal="right" vertical="center"/>
    </xf>
    <xf numFmtId="0" fontId="21" fillId="8" borderId="0" xfId="31" applyFont="1" applyFill="1" applyAlignment="1">
      <alignment vertical="center"/>
    </xf>
    <xf numFmtId="165" fontId="22" fillId="8" borderId="129" xfId="28" applyNumberFormat="1" applyFont="1" applyFill="1" applyBorder="1" applyAlignment="1">
      <alignment horizontal="right" vertical="center"/>
    </xf>
    <xf numFmtId="2" fontId="22" fillId="8" borderId="33" xfId="169" applyNumberFormat="1" applyFont="1" applyFill="1" applyBorder="1" applyAlignment="1">
      <alignment horizontal="center" vertical="center"/>
    </xf>
    <xf numFmtId="2" fontId="21" fillId="8" borderId="0" xfId="169" applyNumberFormat="1" applyFont="1" applyFill="1" applyBorder="1" applyAlignment="1">
      <alignment horizontal="left" vertical="center"/>
    </xf>
    <xf numFmtId="2" fontId="22" fillId="8" borderId="33" xfId="169" applyNumberFormat="1" applyFont="1" applyFill="1" applyBorder="1" applyAlignment="1">
      <alignment horizontal="right" vertical="center"/>
    </xf>
    <xf numFmtId="2" fontId="22" fillId="8" borderId="0" xfId="169" applyNumberFormat="1" applyFont="1" applyFill="1" applyBorder="1" applyAlignment="1">
      <alignment horizontal="center" vertical="center"/>
    </xf>
    <xf numFmtId="0" fontId="21" fillId="8" borderId="131" xfId="170" applyFont="1" applyFill="1" applyBorder="1" applyAlignment="1">
      <alignment horizontal="right" vertical="center" wrapText="1"/>
    </xf>
    <xf numFmtId="0" fontId="96" fillId="8" borderId="131" xfId="170" applyFont="1" applyFill="1" applyBorder="1" applyAlignment="1">
      <alignment horizontal="right" vertical="center" wrapText="1"/>
    </xf>
    <xf numFmtId="165" fontId="96" fillId="8" borderId="129" xfId="28" applyNumberFormat="1" applyFont="1" applyFill="1" applyBorder="1" applyAlignment="1">
      <alignment horizontal="right" vertical="center"/>
    </xf>
    <xf numFmtId="4" fontId="97" fillId="8" borderId="169" xfId="28" applyNumberFormat="1" applyFont="1" applyFill="1" applyBorder="1" applyAlignment="1">
      <alignment horizontal="right" vertical="center"/>
    </xf>
    <xf numFmtId="2" fontId="97" fillId="8" borderId="0" xfId="169" applyNumberFormat="1" applyFont="1" applyFill="1" applyBorder="1" applyAlignment="1">
      <alignment horizontal="center" vertical="center"/>
    </xf>
    <xf numFmtId="176" fontId="96" fillId="8" borderId="0" xfId="169" applyFont="1" applyFill="1" applyAlignment="1">
      <alignment vertical="center"/>
    </xf>
    <xf numFmtId="176" fontId="97" fillId="8" borderId="0" xfId="169" applyFont="1" applyFill="1" applyAlignment="1">
      <alignment horizontal="left" vertical="center"/>
    </xf>
    <xf numFmtId="176" fontId="96" fillId="8" borderId="0" xfId="169" applyFont="1" applyFill="1" applyBorder="1" applyAlignment="1">
      <alignment vertical="center"/>
    </xf>
    <xf numFmtId="176" fontId="97" fillId="8" borderId="0" xfId="169" applyFont="1" applyFill="1" applyAlignment="1">
      <alignment vertical="center"/>
    </xf>
    <xf numFmtId="0" fontId="21" fillId="27" borderId="0" xfId="28" applyFont="1" applyFill="1" applyAlignment="1">
      <alignment horizontal="center" vertical="center"/>
    </xf>
    <xf numFmtId="0" fontId="21" fillId="27" borderId="33" xfId="28" applyFont="1" applyFill="1" applyBorder="1" applyAlignment="1">
      <alignment horizontal="center" vertical="center"/>
    </xf>
    <xf numFmtId="0" fontId="25" fillId="8" borderId="131" xfId="170" applyFont="1" applyFill="1" applyBorder="1" applyAlignment="1">
      <alignment horizontal="right" vertical="center" wrapText="1"/>
    </xf>
    <xf numFmtId="4" fontId="24" fillId="8" borderId="169" xfId="28" applyNumberFormat="1" applyFont="1" applyFill="1" applyBorder="1" applyAlignment="1">
      <alignment horizontal="right" vertical="center"/>
    </xf>
    <xf numFmtId="176" fontId="25" fillId="8" borderId="0" xfId="169" applyFont="1" applyFill="1" applyAlignment="1">
      <alignment vertical="center"/>
    </xf>
    <xf numFmtId="176" fontId="24" fillId="8" borderId="0" xfId="169" applyFont="1" applyFill="1" applyAlignment="1">
      <alignment horizontal="left" vertical="center"/>
    </xf>
    <xf numFmtId="176" fontId="25" fillId="8" borderId="0" xfId="169" applyFont="1" applyFill="1" applyBorder="1" applyAlignment="1">
      <alignment vertical="center"/>
    </xf>
    <xf numFmtId="176" fontId="24" fillId="8" borderId="0" xfId="169" applyFont="1" applyFill="1" applyAlignment="1">
      <alignment vertical="center"/>
    </xf>
    <xf numFmtId="2" fontId="25" fillId="8" borderId="33" xfId="169" applyNumberFormat="1" applyFont="1" applyFill="1" applyBorder="1" applyAlignment="1">
      <alignment horizontal="center" vertical="center"/>
    </xf>
    <xf numFmtId="165" fontId="25" fillId="8" borderId="129" xfId="28" applyNumberFormat="1" applyFont="1" applyFill="1" applyBorder="1" applyAlignment="1">
      <alignment horizontal="right" vertical="center"/>
    </xf>
    <xf numFmtId="165" fontId="21" fillId="61" borderId="129" xfId="28" applyNumberFormat="1" applyFont="1" applyFill="1" applyBorder="1" applyAlignment="1">
      <alignment horizontal="right" vertical="center"/>
    </xf>
    <xf numFmtId="165" fontId="25" fillId="8" borderId="129" xfId="28" applyNumberFormat="1" applyFont="1" applyFill="1" applyBorder="1" applyAlignment="1">
      <alignment horizontal="left" vertical="center"/>
    </xf>
    <xf numFmtId="165" fontId="22" fillId="8" borderId="129" xfId="28" applyNumberFormat="1" applyFont="1" applyFill="1" applyBorder="1" applyAlignment="1">
      <alignment horizontal="left" vertical="center"/>
    </xf>
    <xf numFmtId="0" fontId="24" fillId="8" borderId="131" xfId="170" applyFont="1" applyFill="1" applyBorder="1" applyAlignment="1">
      <alignment horizontal="right" vertical="center" wrapText="1"/>
    </xf>
    <xf numFmtId="4" fontId="22" fillId="8" borderId="169" xfId="28" applyNumberFormat="1" applyFont="1" applyFill="1" applyBorder="1" applyAlignment="1">
      <alignment horizontal="right" vertical="center"/>
    </xf>
    <xf numFmtId="176" fontId="22" fillId="8" borderId="0" xfId="169" applyFont="1" applyFill="1" applyAlignment="1">
      <alignment horizontal="left" vertical="center"/>
    </xf>
    <xf numFmtId="0" fontId="22" fillId="8" borderId="173" xfId="28" applyNumberFormat="1" applyFont="1" applyFill="1" applyBorder="1" applyAlignment="1">
      <alignment horizontal="center"/>
    </xf>
    <xf numFmtId="0" fontId="22" fillId="8" borderId="129" xfId="170" applyFont="1" applyFill="1" applyBorder="1" applyAlignment="1">
      <alignment horizontal="center" vertical="center"/>
    </xf>
    <xf numFmtId="2" fontId="22" fillId="8" borderId="129" xfId="170" applyNumberFormat="1" applyFont="1" applyFill="1" applyBorder="1" applyAlignment="1">
      <alignment horizontal="center" vertical="center"/>
    </xf>
    <xf numFmtId="2" fontId="22" fillId="8" borderId="129" xfId="170" applyNumberFormat="1" applyFont="1" applyFill="1" applyBorder="1" applyAlignment="1">
      <alignment horizontal="right" vertical="center"/>
    </xf>
    <xf numFmtId="2" fontId="22" fillId="8" borderId="129" xfId="69" applyNumberFormat="1" applyFont="1" applyFill="1" applyBorder="1" applyAlignment="1">
      <alignment horizontal="right" vertical="center"/>
    </xf>
    <xf numFmtId="2" fontId="22" fillId="8" borderId="129" xfId="69" applyNumberFormat="1" applyFont="1" applyFill="1" applyBorder="1" applyAlignment="1">
      <alignment vertical="center"/>
    </xf>
    <xf numFmtId="43" fontId="22" fillId="8" borderId="129" xfId="170" applyNumberFormat="1" applyFont="1" applyFill="1" applyBorder="1" applyAlignment="1">
      <alignment horizontal="right" vertical="center"/>
    </xf>
    <xf numFmtId="43" fontId="22" fillId="8" borderId="129" xfId="69" applyNumberFormat="1" applyFont="1" applyFill="1" applyBorder="1" applyAlignment="1">
      <alignment vertical="center"/>
    </xf>
    <xf numFmtId="0" fontId="96" fillId="8" borderId="173" xfId="28" applyNumberFormat="1" applyFont="1" applyFill="1" applyBorder="1" applyAlignment="1">
      <alignment horizontal="center"/>
    </xf>
    <xf numFmtId="0" fontId="97" fillId="8" borderId="131" xfId="170" applyFont="1" applyFill="1" applyBorder="1" applyAlignment="1">
      <alignment horizontal="right" vertical="center" wrapText="1"/>
    </xf>
    <xf numFmtId="0" fontId="96" fillId="8" borderId="129" xfId="170" applyFont="1" applyFill="1" applyBorder="1" applyAlignment="1">
      <alignment horizontal="center" vertical="center"/>
    </xf>
    <xf numFmtId="2" fontId="96" fillId="8" borderId="129" xfId="170" applyNumberFormat="1" applyFont="1" applyFill="1" applyBorder="1" applyAlignment="1">
      <alignment horizontal="center" vertical="center"/>
    </xf>
    <xf numFmtId="2" fontId="96" fillId="8" borderId="129" xfId="170" applyNumberFormat="1" applyFont="1" applyFill="1" applyBorder="1" applyAlignment="1">
      <alignment horizontal="right" vertical="center"/>
    </xf>
    <xf numFmtId="2" fontId="96" fillId="8" borderId="129" xfId="69" applyNumberFormat="1" applyFont="1" applyFill="1" applyBorder="1" applyAlignment="1">
      <alignment horizontal="right" vertical="center"/>
    </xf>
    <xf numFmtId="43" fontId="96" fillId="8" borderId="129" xfId="170" applyNumberFormat="1" applyFont="1" applyFill="1" applyBorder="1" applyAlignment="1">
      <alignment horizontal="right" vertical="center"/>
    </xf>
    <xf numFmtId="43" fontId="96" fillId="8" borderId="129" xfId="69" applyNumberFormat="1" applyFont="1" applyFill="1" applyBorder="1" applyAlignment="1">
      <alignment vertical="center"/>
    </xf>
    <xf numFmtId="0" fontId="22" fillId="61" borderId="173" xfId="28" applyNumberFormat="1" applyFont="1" applyFill="1" applyBorder="1" applyAlignment="1">
      <alignment horizontal="center"/>
    </xf>
    <xf numFmtId="0" fontId="21" fillId="61" borderId="131" xfId="170" applyFont="1" applyFill="1" applyBorder="1" applyAlignment="1">
      <alignment horizontal="right" vertical="center" wrapText="1"/>
    </xf>
    <xf numFmtId="0" fontId="22" fillId="61" borderId="129" xfId="170" applyFont="1" applyFill="1" applyBorder="1" applyAlignment="1">
      <alignment horizontal="center" vertical="center"/>
    </xf>
    <xf numFmtId="2" fontId="22" fillId="61" borderId="129" xfId="170" applyNumberFormat="1" applyFont="1" applyFill="1" applyBorder="1" applyAlignment="1">
      <alignment horizontal="center" vertical="center"/>
    </xf>
    <xf numFmtId="2" fontId="22" fillId="61" borderId="129" xfId="170" applyNumberFormat="1" applyFont="1" applyFill="1" applyBorder="1" applyAlignment="1">
      <alignment horizontal="right" vertical="center"/>
    </xf>
    <xf numFmtId="2" fontId="22" fillId="61" borderId="129" xfId="69" applyNumberFormat="1" applyFont="1" applyFill="1" applyBorder="1" applyAlignment="1">
      <alignment horizontal="right" vertical="center"/>
    </xf>
    <xf numFmtId="2" fontId="22" fillId="61" borderId="129" xfId="69" applyNumberFormat="1" applyFont="1" applyFill="1" applyBorder="1" applyAlignment="1">
      <alignment vertical="center"/>
    </xf>
    <xf numFmtId="43" fontId="22" fillId="61" borderId="129" xfId="170" applyNumberFormat="1" applyFont="1" applyFill="1" applyBorder="1" applyAlignment="1">
      <alignment horizontal="right" vertical="center"/>
    </xf>
    <xf numFmtId="43" fontId="22" fillId="61" borderId="129" xfId="69" applyNumberFormat="1" applyFont="1" applyFill="1" applyBorder="1" applyAlignment="1">
      <alignment vertical="center"/>
    </xf>
    <xf numFmtId="165" fontId="22" fillId="61" borderId="129" xfId="28" applyNumberFormat="1" applyFont="1" applyFill="1" applyBorder="1" applyAlignment="1">
      <alignment horizontal="right" vertical="center"/>
    </xf>
    <xf numFmtId="4" fontId="21" fillId="61" borderId="169" xfId="28" applyNumberFormat="1" applyFont="1" applyFill="1" applyBorder="1" applyAlignment="1">
      <alignment horizontal="right" vertical="center"/>
    </xf>
    <xf numFmtId="0" fontId="21" fillId="61" borderId="0" xfId="28" applyFont="1" applyFill="1" applyAlignment="1">
      <alignment horizontal="center" vertical="center"/>
    </xf>
    <xf numFmtId="0" fontId="21" fillId="61" borderId="33" xfId="28" applyFont="1" applyFill="1" applyBorder="1" applyAlignment="1">
      <alignment horizontal="center" vertical="center"/>
    </xf>
    <xf numFmtId="176" fontId="22" fillId="61" borderId="0" xfId="169" applyFont="1" applyFill="1" applyAlignment="1">
      <alignment vertical="center"/>
    </xf>
    <xf numFmtId="176" fontId="21" fillId="61" borderId="0" xfId="169" applyFont="1" applyFill="1" applyAlignment="1">
      <alignment horizontal="left" vertical="center"/>
    </xf>
    <xf numFmtId="176" fontId="22" fillId="61" borderId="0" xfId="169" applyFont="1" applyFill="1" applyBorder="1" applyAlignment="1">
      <alignment vertical="center"/>
    </xf>
    <xf numFmtId="176" fontId="21" fillId="61" borderId="0" xfId="169" applyFont="1" applyFill="1" applyAlignment="1">
      <alignment vertical="center"/>
    </xf>
    <xf numFmtId="0" fontId="25" fillId="8" borderId="173" xfId="28" applyNumberFormat="1" applyFont="1" applyFill="1" applyBorder="1" applyAlignment="1">
      <alignment horizontal="center"/>
    </xf>
    <xf numFmtId="0" fontId="25" fillId="8" borderId="129" xfId="170" applyFont="1" applyFill="1" applyBorder="1" applyAlignment="1">
      <alignment horizontal="center" vertical="center"/>
    </xf>
    <xf numFmtId="2" fontId="25" fillId="8" borderId="129" xfId="170" applyNumberFormat="1" applyFont="1" applyFill="1" applyBorder="1" applyAlignment="1">
      <alignment horizontal="center" vertical="center"/>
    </xf>
    <xf numFmtId="2" fontId="25" fillId="8" borderId="129" xfId="170" applyNumberFormat="1" applyFont="1" applyFill="1" applyBorder="1" applyAlignment="1">
      <alignment horizontal="right" vertical="center"/>
    </xf>
    <xf numFmtId="2" fontId="25" fillId="8" borderId="129" xfId="69" applyNumberFormat="1" applyFont="1" applyFill="1" applyBorder="1" applyAlignment="1">
      <alignment horizontal="right" vertical="center"/>
    </xf>
    <xf numFmtId="2" fontId="25" fillId="8" borderId="129" xfId="69" applyNumberFormat="1" applyFont="1" applyFill="1" applyBorder="1" applyAlignment="1">
      <alignment vertical="center"/>
    </xf>
    <xf numFmtId="43" fontId="25" fillId="8" borderId="129" xfId="170" applyNumberFormat="1" applyFont="1" applyFill="1" applyBorder="1" applyAlignment="1">
      <alignment horizontal="right" vertical="center"/>
    </xf>
    <xf numFmtId="43" fontId="25" fillId="8" borderId="129" xfId="69" applyNumberFormat="1" applyFont="1" applyFill="1" applyBorder="1" applyAlignment="1">
      <alignment vertical="center"/>
    </xf>
    <xf numFmtId="2" fontId="21" fillId="61" borderId="0" xfId="169" applyNumberFormat="1" applyFont="1" applyFill="1" applyBorder="1" applyAlignment="1">
      <alignment horizontal="left" vertical="center"/>
    </xf>
    <xf numFmtId="2" fontId="21" fillId="61" borderId="0" xfId="169" applyNumberFormat="1" applyFont="1" applyFill="1" applyBorder="1" applyAlignment="1">
      <alignment horizontal="center" vertical="center"/>
    </xf>
    <xf numFmtId="2" fontId="22" fillId="61" borderId="33" xfId="169" applyNumberFormat="1" applyFont="1" applyFill="1" applyBorder="1" applyAlignment="1">
      <alignment horizontal="right" vertical="center"/>
    </xf>
    <xf numFmtId="2" fontId="21" fillId="28" borderId="0" xfId="169" applyNumberFormat="1" applyFont="1" applyFill="1" applyBorder="1" applyAlignment="1">
      <alignment horizontal="center" vertical="center"/>
    </xf>
    <xf numFmtId="0" fontId="26" fillId="28" borderId="173" xfId="28" applyNumberFormat="1" applyFont="1" applyFill="1" applyBorder="1" applyAlignment="1">
      <alignment horizontal="center"/>
    </xf>
    <xf numFmtId="0" fontId="51" fillId="28" borderId="131" xfId="170" applyFont="1" applyFill="1" applyBorder="1" applyAlignment="1">
      <alignment horizontal="center" vertical="center" wrapText="1"/>
    </xf>
    <xf numFmtId="0" fontId="51" fillId="28" borderId="131" xfId="170" applyFont="1" applyFill="1" applyBorder="1" applyAlignment="1">
      <alignment horizontal="right" vertical="center" wrapText="1"/>
    </xf>
    <xf numFmtId="0" fontId="26" fillId="28" borderId="129" xfId="170" applyFont="1" applyFill="1" applyBorder="1" applyAlignment="1">
      <alignment horizontal="center" vertical="center"/>
    </xf>
    <xf numFmtId="2" fontId="26" fillId="28" borderId="129" xfId="170" applyNumberFormat="1" applyFont="1" applyFill="1" applyBorder="1" applyAlignment="1">
      <alignment horizontal="center" vertical="center"/>
    </xf>
    <xf numFmtId="2" fontId="26" fillId="28" borderId="129" xfId="170" applyNumberFormat="1" applyFont="1" applyFill="1" applyBorder="1" applyAlignment="1">
      <alignment horizontal="right" vertical="center"/>
    </xf>
    <xf numFmtId="2" fontId="26" fillId="28" borderId="129" xfId="69" applyNumberFormat="1" applyFont="1" applyFill="1" applyBorder="1" applyAlignment="1">
      <alignment horizontal="right" vertical="center"/>
    </xf>
    <xf numFmtId="2" fontId="26" fillId="28" borderId="129" xfId="69" applyNumberFormat="1" applyFont="1" applyFill="1" applyBorder="1" applyAlignment="1">
      <alignment vertical="center"/>
    </xf>
    <xf numFmtId="43" fontId="26" fillId="28" borderId="129" xfId="170" applyNumberFormat="1" applyFont="1" applyFill="1" applyBorder="1" applyAlignment="1">
      <alignment horizontal="right" vertical="center"/>
    </xf>
    <xf numFmtId="43" fontId="26" fillId="28" borderId="129" xfId="69" applyNumberFormat="1" applyFont="1" applyFill="1" applyBorder="1" applyAlignment="1">
      <alignment vertical="center"/>
    </xf>
    <xf numFmtId="165" fontId="26" fillId="28" borderId="129" xfId="28" applyNumberFormat="1" applyFont="1" applyFill="1" applyBorder="1" applyAlignment="1">
      <alignment horizontal="right" vertical="center"/>
    </xf>
    <xf numFmtId="4" fontId="51" fillId="28" borderId="169" xfId="28" applyNumberFormat="1" applyFont="1" applyFill="1" applyBorder="1" applyAlignment="1">
      <alignment horizontal="right" vertical="center"/>
    </xf>
    <xf numFmtId="0" fontId="51" fillId="28" borderId="0" xfId="28" applyFont="1" applyFill="1" applyAlignment="1">
      <alignment horizontal="center" vertical="center"/>
    </xf>
    <xf numFmtId="0" fontId="51" fillId="28" borderId="33" xfId="28" applyFont="1" applyFill="1" applyBorder="1" applyAlignment="1">
      <alignment horizontal="center" vertical="center"/>
    </xf>
    <xf numFmtId="176" fontId="26" fillId="28" borderId="0" xfId="169" applyFont="1" applyFill="1" applyAlignment="1">
      <alignment vertical="center"/>
    </xf>
    <xf numFmtId="176" fontId="51" fillId="28" borderId="0" xfId="169" applyFont="1" applyFill="1" applyAlignment="1">
      <alignment horizontal="left" vertical="center"/>
    </xf>
    <xf numFmtId="176" fontId="26" fillId="28" borderId="0" xfId="169" applyFont="1" applyFill="1" applyBorder="1" applyAlignment="1">
      <alignment vertical="center"/>
    </xf>
    <xf numFmtId="176" fontId="51" fillId="28" borderId="0" xfId="169" applyFont="1" applyFill="1" applyAlignment="1">
      <alignment vertical="center"/>
    </xf>
    <xf numFmtId="0" fontId="22" fillId="28" borderId="173" xfId="28" applyNumberFormat="1" applyFont="1" applyFill="1" applyBorder="1" applyAlignment="1">
      <alignment horizontal="left"/>
    </xf>
    <xf numFmtId="43" fontId="22" fillId="8" borderId="129" xfId="26" applyFont="1" applyFill="1" applyBorder="1" applyAlignment="1">
      <alignment vertical="center"/>
    </xf>
    <xf numFmtId="43" fontId="22" fillId="0" borderId="129" xfId="26" applyNumberFormat="1" applyFont="1" applyFill="1" applyBorder="1" applyAlignment="1">
      <alignment vertical="center"/>
    </xf>
    <xf numFmtId="0" fontId="22" fillId="0" borderId="275" xfId="28" applyNumberFormat="1" applyFont="1" applyFill="1" applyBorder="1" applyAlignment="1">
      <alignment horizontal="center"/>
    </xf>
    <xf numFmtId="0" fontId="21" fillId="0" borderId="132" xfId="170" applyFont="1" applyFill="1" applyBorder="1" applyAlignment="1">
      <alignment horizontal="right" vertical="center" wrapText="1"/>
    </xf>
    <xf numFmtId="2" fontId="22" fillId="0" borderId="130" xfId="170" applyNumberFormat="1" applyFont="1" applyFill="1" applyBorder="1" applyAlignment="1">
      <alignment horizontal="center" vertical="center"/>
    </xf>
    <xf numFmtId="2" fontId="22" fillId="0" borderId="130" xfId="170" applyNumberFormat="1" applyFont="1" applyFill="1" applyBorder="1" applyAlignment="1">
      <alignment horizontal="right" vertical="center"/>
    </xf>
    <xf numFmtId="2" fontId="22" fillId="0" borderId="130" xfId="69" applyNumberFormat="1" applyFont="1" applyFill="1" applyBorder="1" applyAlignment="1">
      <alignment horizontal="right" vertical="center"/>
    </xf>
    <xf numFmtId="43" fontId="22" fillId="0" borderId="130" xfId="170" applyNumberFormat="1" applyFont="1" applyFill="1" applyBorder="1" applyAlignment="1">
      <alignment horizontal="right" vertical="center"/>
    </xf>
    <xf numFmtId="43" fontId="22" fillId="0" borderId="130" xfId="69" applyNumberFormat="1" applyFont="1" applyFill="1" applyBorder="1" applyAlignment="1">
      <alignment vertical="center"/>
    </xf>
    <xf numFmtId="0" fontId="21" fillId="4" borderId="173" xfId="28" applyFont="1" applyFill="1" applyBorder="1" applyAlignment="1">
      <alignment horizontal="center" vertical="center"/>
    </xf>
    <xf numFmtId="0" fontId="21" fillId="4" borderId="174" xfId="28" applyFont="1" applyFill="1" applyBorder="1" applyAlignment="1">
      <alignment horizontal="center" vertical="center"/>
    </xf>
    <xf numFmtId="0" fontId="21" fillId="0" borderId="173" xfId="28" applyFont="1" applyFill="1" applyBorder="1" applyAlignment="1">
      <alignment horizontal="center" vertical="center"/>
    </xf>
    <xf numFmtId="0" fontId="21" fillId="0" borderId="174" xfId="28" applyFont="1" applyFill="1" applyBorder="1" applyAlignment="1">
      <alignment horizontal="center" vertical="center" wrapText="1"/>
    </xf>
    <xf numFmtId="9" fontId="22" fillId="0" borderId="129" xfId="170" applyNumberFormat="1" applyFont="1" applyFill="1" applyBorder="1" applyAlignment="1">
      <alignment horizontal="center" vertical="center"/>
    </xf>
    <xf numFmtId="4" fontId="21" fillId="0" borderId="169" xfId="28" applyNumberFormat="1" applyFont="1" applyFill="1" applyBorder="1" applyAlignment="1">
      <alignment horizontal="right" vertical="center"/>
    </xf>
    <xf numFmtId="0" fontId="22" fillId="0" borderId="173" xfId="28" applyNumberFormat="1" applyFont="1" applyFill="1" applyBorder="1" applyAlignment="1">
      <alignment horizontal="center"/>
    </xf>
    <xf numFmtId="0" fontId="22" fillId="0" borderId="131" xfId="170" applyFont="1" applyFill="1" applyBorder="1" applyAlignment="1">
      <alignment horizontal="right" vertical="center" wrapText="1"/>
    </xf>
    <xf numFmtId="0" fontId="21" fillId="0" borderId="131" xfId="170" applyFont="1" applyFill="1" applyBorder="1" applyAlignment="1">
      <alignment horizontal="right" vertical="center" wrapText="1"/>
    </xf>
    <xf numFmtId="0" fontId="22" fillId="0" borderId="129" xfId="170" applyFont="1" applyFill="1" applyBorder="1" applyAlignment="1">
      <alignment horizontal="center" vertical="center"/>
    </xf>
    <xf numFmtId="2" fontId="22" fillId="0" borderId="129" xfId="170" applyNumberFormat="1" applyFont="1" applyFill="1" applyBorder="1" applyAlignment="1">
      <alignment horizontal="center" vertical="center"/>
    </xf>
    <xf numFmtId="2" fontId="22" fillId="0" borderId="129" xfId="170" applyNumberFormat="1" applyFont="1" applyFill="1" applyBorder="1" applyAlignment="1">
      <alignment horizontal="right" vertical="center"/>
    </xf>
    <xf numFmtId="2" fontId="22" fillId="0" borderId="129" xfId="69" applyNumberFormat="1" applyFont="1" applyFill="1" applyBorder="1" applyAlignment="1">
      <alignment horizontal="right" vertical="center"/>
    </xf>
    <xf numFmtId="2" fontId="21" fillId="0" borderId="0" xfId="169" applyNumberFormat="1" applyFont="1" applyFill="1" applyBorder="1" applyAlignment="1">
      <alignment horizontal="left" vertical="center"/>
    </xf>
    <xf numFmtId="2" fontId="22" fillId="0" borderId="33" xfId="169" applyNumberFormat="1" applyFont="1" applyFill="1" applyBorder="1" applyAlignment="1">
      <alignment horizontal="right" vertical="center"/>
    </xf>
    <xf numFmtId="176" fontId="22" fillId="0" borderId="0" xfId="169" applyFont="1" applyFill="1" applyAlignment="1">
      <alignment vertical="center"/>
    </xf>
    <xf numFmtId="176" fontId="21" fillId="0" borderId="0" xfId="169" applyFont="1" applyFill="1" applyAlignment="1">
      <alignment horizontal="left" vertical="center"/>
    </xf>
    <xf numFmtId="176" fontId="22" fillId="0" borderId="0" xfId="169" applyFont="1" applyFill="1" applyBorder="1" applyAlignment="1">
      <alignment vertical="center"/>
    </xf>
    <xf numFmtId="176" fontId="21" fillId="0" borderId="0" xfId="169" applyFont="1" applyFill="1" applyAlignment="1">
      <alignment vertical="center"/>
    </xf>
    <xf numFmtId="0" fontId="21" fillId="4" borderId="174" xfId="28" applyFont="1" applyFill="1" applyBorder="1" applyAlignment="1">
      <alignment horizontal="center" vertical="center" wrapText="1"/>
    </xf>
    <xf numFmtId="9" fontId="21" fillId="4" borderId="174" xfId="30" applyFont="1" applyFill="1" applyBorder="1" applyAlignment="1">
      <alignment horizontal="center" vertical="center"/>
    </xf>
    <xf numFmtId="2" fontId="21" fillId="4" borderId="174" xfId="28" applyNumberFormat="1" applyFont="1" applyFill="1" applyBorder="1" applyAlignment="1">
      <alignment horizontal="right" vertical="center"/>
    </xf>
    <xf numFmtId="165" fontId="21" fillId="4" borderId="174" xfId="28" applyNumberFormat="1" applyFont="1" applyFill="1" applyBorder="1" applyAlignment="1">
      <alignment horizontal="right" vertical="center"/>
    </xf>
    <xf numFmtId="4" fontId="21" fillId="4" borderId="276" xfId="28" applyNumberFormat="1" applyFont="1" applyFill="1" applyBorder="1" applyAlignment="1">
      <alignment horizontal="right" vertical="center"/>
    </xf>
    <xf numFmtId="2" fontId="21" fillId="4" borderId="174" xfId="28" applyNumberFormat="1" applyFont="1" applyFill="1" applyBorder="1" applyAlignment="1">
      <alignment horizontal="center" vertical="center"/>
    </xf>
    <xf numFmtId="2" fontId="22" fillId="0" borderId="129" xfId="170" applyNumberFormat="1" applyFont="1" applyFill="1" applyBorder="1" applyAlignment="1">
      <alignment vertical="center"/>
    </xf>
    <xf numFmtId="165" fontId="22" fillId="8" borderId="131" xfId="28" applyNumberFormat="1" applyFont="1" applyFill="1" applyBorder="1" applyAlignment="1">
      <alignment horizontal="right" vertical="center"/>
    </xf>
    <xf numFmtId="165" fontId="22" fillId="0" borderId="172" xfId="28" applyNumberFormat="1" applyFont="1" applyFill="1" applyBorder="1" applyAlignment="1">
      <alignment horizontal="right" vertical="center"/>
    </xf>
    <xf numFmtId="0" fontId="21" fillId="0" borderId="280" xfId="28" applyFont="1" applyFill="1" applyBorder="1" applyAlignment="1">
      <alignment horizontal="left" vertical="center"/>
    </xf>
    <xf numFmtId="2" fontId="21" fillId="0" borderId="280" xfId="28" applyNumberFormat="1" applyFont="1" applyFill="1" applyBorder="1" applyAlignment="1">
      <alignment horizontal="center" vertical="center"/>
    </xf>
    <xf numFmtId="2" fontId="21" fillId="0" borderId="280" xfId="28" applyNumberFormat="1" applyFont="1" applyFill="1" applyBorder="1" applyAlignment="1">
      <alignment horizontal="right" vertical="center"/>
    </xf>
    <xf numFmtId="0" fontId="21" fillId="0" borderId="280" xfId="28" applyFont="1" applyFill="1" applyBorder="1" applyAlignment="1">
      <alignment horizontal="center" vertical="center"/>
    </xf>
    <xf numFmtId="165" fontId="21" fillId="0" borderId="280" xfId="28" applyNumberFormat="1" applyFont="1" applyFill="1" applyBorder="1" applyAlignment="1">
      <alignment horizontal="right" vertical="center"/>
    </xf>
    <xf numFmtId="4" fontId="21" fillId="0" borderId="281" xfId="28" applyNumberFormat="1" applyFont="1" applyFill="1" applyBorder="1" applyAlignment="1">
      <alignment horizontal="right" vertical="center"/>
    </xf>
    <xf numFmtId="0" fontId="22" fillId="0" borderId="132" xfId="170" applyFont="1" applyFill="1" applyBorder="1" applyAlignment="1">
      <alignment horizontal="right" vertical="center" wrapText="1"/>
    </xf>
    <xf numFmtId="0" fontId="22" fillId="0" borderId="130" xfId="170" applyFont="1" applyFill="1" applyBorder="1" applyAlignment="1">
      <alignment horizontal="center" vertical="center"/>
    </xf>
    <xf numFmtId="43" fontId="22" fillId="0" borderId="130" xfId="26" applyFont="1" applyFill="1" applyBorder="1" applyAlignment="1">
      <alignment vertical="center"/>
    </xf>
    <xf numFmtId="0" fontId="21" fillId="62" borderId="168" xfId="28" applyFont="1" applyFill="1" applyBorder="1" applyAlignment="1">
      <alignment horizontal="center" vertical="center"/>
    </xf>
    <xf numFmtId="9" fontId="21" fillId="62" borderId="129" xfId="30" applyFont="1" applyFill="1" applyBorder="1" applyAlignment="1">
      <alignment horizontal="center" vertical="center"/>
    </xf>
    <xf numFmtId="2" fontId="21" fillId="62" borderId="129" xfId="28" applyNumberFormat="1" applyFont="1" applyFill="1" applyBorder="1" applyAlignment="1">
      <alignment horizontal="right" vertical="center"/>
    </xf>
    <xf numFmtId="0" fontId="21" fillId="62" borderId="129" xfId="28" applyFont="1" applyFill="1" applyBorder="1" applyAlignment="1">
      <alignment horizontal="center" vertical="center"/>
    </xf>
    <xf numFmtId="165" fontId="21" fillId="62" borderId="129" xfId="28" applyNumberFormat="1" applyFont="1" applyFill="1" applyBorder="1" applyAlignment="1">
      <alignment horizontal="right" vertical="center"/>
    </xf>
    <xf numFmtId="4" fontId="21" fillId="62" borderId="169" xfId="28" applyNumberFormat="1" applyFont="1" applyFill="1" applyBorder="1" applyAlignment="1">
      <alignment horizontal="right" vertical="center"/>
    </xf>
    <xf numFmtId="0" fontId="21" fillId="4" borderId="131" xfId="28" applyFont="1" applyFill="1" applyBorder="1" applyAlignment="1">
      <alignment horizontal="center" vertical="center" wrapText="1"/>
    </xf>
    <xf numFmtId="0" fontId="21" fillId="62" borderId="131" xfId="28" applyFont="1" applyFill="1" applyBorder="1" applyAlignment="1">
      <alignment horizontal="center" vertical="center"/>
    </xf>
    <xf numFmtId="0" fontId="21" fillId="62" borderId="171" xfId="28" applyFont="1" applyFill="1" applyBorder="1" applyAlignment="1">
      <alignment horizontal="center" vertical="center"/>
    </xf>
    <xf numFmtId="0" fontId="21" fillId="62" borderId="130" xfId="28" applyFont="1" applyFill="1" applyBorder="1" applyAlignment="1">
      <alignment horizontal="left" vertical="center"/>
    </xf>
    <xf numFmtId="2" fontId="21" fillId="62" borderId="130" xfId="28" applyNumberFormat="1" applyFont="1" applyFill="1" applyBorder="1" applyAlignment="1">
      <alignment horizontal="center" vertical="center"/>
    </xf>
    <xf numFmtId="2" fontId="21" fillId="62" borderId="130" xfId="28" applyNumberFormat="1" applyFont="1" applyFill="1" applyBorder="1" applyAlignment="1">
      <alignment horizontal="right" vertical="center"/>
    </xf>
    <xf numFmtId="0" fontId="21" fillId="62" borderId="130" xfId="28" applyFont="1" applyFill="1" applyBorder="1" applyAlignment="1">
      <alignment horizontal="center" vertical="center"/>
    </xf>
    <xf numFmtId="165" fontId="21" fillId="62" borderId="130" xfId="28" applyNumberFormat="1" applyFont="1" applyFill="1" applyBorder="1" applyAlignment="1">
      <alignment horizontal="right" vertical="center"/>
    </xf>
    <xf numFmtId="4" fontId="21" fillId="62" borderId="172" xfId="28" applyNumberFormat="1" applyFont="1" applyFill="1" applyBorder="1" applyAlignment="1">
      <alignment horizontal="right" vertical="center"/>
    </xf>
    <xf numFmtId="0" fontId="21" fillId="62" borderId="129" xfId="28" applyFont="1" applyFill="1" applyBorder="1" applyAlignment="1">
      <alignment horizontal="left" vertical="center"/>
    </xf>
    <xf numFmtId="2" fontId="21" fillId="62" borderId="129" xfId="28" applyNumberFormat="1" applyFont="1" applyFill="1" applyBorder="1" applyAlignment="1">
      <alignment horizontal="center" vertical="center"/>
    </xf>
    <xf numFmtId="0" fontId="21" fillId="4" borderId="131" xfId="170" applyFont="1" applyFill="1" applyBorder="1" applyAlignment="1">
      <alignment horizontal="right" vertical="center" wrapText="1"/>
    </xf>
    <xf numFmtId="0" fontId="21" fillId="4" borderId="129" xfId="170" applyFont="1" applyFill="1" applyBorder="1" applyAlignment="1">
      <alignment horizontal="center" vertical="center"/>
    </xf>
    <xf numFmtId="2" fontId="21" fillId="4" borderId="129" xfId="170" applyNumberFormat="1" applyFont="1" applyFill="1" applyBorder="1" applyAlignment="1">
      <alignment horizontal="center" vertical="center"/>
    </xf>
    <xf numFmtId="2" fontId="21" fillId="4" borderId="129" xfId="170" applyNumberFormat="1" applyFont="1" applyFill="1" applyBorder="1" applyAlignment="1">
      <alignment horizontal="right" vertical="center"/>
    </xf>
    <xf numFmtId="2" fontId="21" fillId="4" borderId="129" xfId="69" applyNumberFormat="1" applyFont="1" applyFill="1" applyBorder="1" applyAlignment="1">
      <alignment horizontal="right" vertical="center"/>
    </xf>
    <xf numFmtId="43" fontId="21" fillId="4" borderId="129" xfId="26" applyFont="1" applyFill="1" applyBorder="1" applyAlignment="1">
      <alignment vertical="center"/>
    </xf>
    <xf numFmtId="43" fontId="21" fillId="4" borderId="129" xfId="69" applyNumberFormat="1" applyFont="1" applyFill="1" applyBorder="1" applyAlignment="1">
      <alignment vertical="center"/>
    </xf>
    <xf numFmtId="165" fontId="21" fillId="4" borderId="169" xfId="28" applyNumberFormat="1" applyFont="1" applyFill="1" applyBorder="1" applyAlignment="1">
      <alignment horizontal="right" vertical="center"/>
    </xf>
    <xf numFmtId="0" fontId="21" fillId="4" borderId="131" xfId="170" applyFont="1" applyFill="1" applyBorder="1" applyAlignment="1">
      <alignment horizontal="center" vertical="center" wrapText="1"/>
    </xf>
    <xf numFmtId="0" fontId="21" fillId="4" borderId="173" xfId="28" applyNumberFormat="1" applyFont="1" applyFill="1" applyBorder="1" applyAlignment="1">
      <alignment horizontal="center" vertical="center"/>
    </xf>
    <xf numFmtId="0" fontId="22" fillId="0" borderId="173" xfId="28" applyNumberFormat="1" applyFont="1" applyFill="1" applyBorder="1" applyAlignment="1">
      <alignment horizontal="center" vertical="center"/>
    </xf>
    <xf numFmtId="0" fontId="21" fillId="62" borderId="131" xfId="170" applyFont="1" applyFill="1" applyBorder="1" applyAlignment="1">
      <alignment horizontal="right" vertical="center" wrapText="1"/>
    </xf>
    <xf numFmtId="0" fontId="21" fillId="62" borderId="129" xfId="170" applyFont="1" applyFill="1" applyBorder="1" applyAlignment="1">
      <alignment horizontal="center" vertical="center"/>
    </xf>
    <xf numFmtId="2" fontId="21" fillId="62" borderId="129" xfId="170" applyNumberFormat="1" applyFont="1" applyFill="1" applyBorder="1" applyAlignment="1">
      <alignment horizontal="center" vertical="center"/>
    </xf>
    <xf numFmtId="2" fontId="21" fillId="62" borderId="129" xfId="170" applyNumberFormat="1" applyFont="1" applyFill="1" applyBorder="1" applyAlignment="1">
      <alignment horizontal="right" vertical="center"/>
    </xf>
    <xf numFmtId="2" fontId="21" fillId="62" borderId="129" xfId="69" applyNumberFormat="1" applyFont="1" applyFill="1" applyBorder="1" applyAlignment="1">
      <alignment horizontal="right" vertical="center"/>
    </xf>
    <xf numFmtId="43" fontId="21" fillId="62" borderId="129" xfId="26" applyFont="1" applyFill="1" applyBorder="1" applyAlignment="1">
      <alignment vertical="center"/>
    </xf>
    <xf numFmtId="43" fontId="21" fillId="62" borderId="129" xfId="69" applyNumberFormat="1" applyFont="1" applyFill="1" applyBorder="1" applyAlignment="1">
      <alignment vertical="center"/>
    </xf>
    <xf numFmtId="165" fontId="21" fillId="62" borderId="169" xfId="28" applyNumberFormat="1" applyFont="1" applyFill="1" applyBorder="1" applyAlignment="1">
      <alignment horizontal="right" vertical="center"/>
    </xf>
    <xf numFmtId="165" fontId="21" fillId="4" borderId="276" xfId="28" applyNumberFormat="1" applyFont="1" applyFill="1" applyBorder="1" applyAlignment="1">
      <alignment horizontal="right" vertical="center"/>
    </xf>
    <xf numFmtId="0" fontId="21" fillId="4" borderId="174" xfId="170" applyFont="1" applyFill="1" applyBorder="1" applyAlignment="1">
      <alignment horizontal="center" vertical="center"/>
    </xf>
    <xf numFmtId="2" fontId="21" fillId="4" borderId="174" xfId="170" applyNumberFormat="1" applyFont="1" applyFill="1" applyBorder="1" applyAlignment="1">
      <alignment horizontal="center" vertical="center"/>
    </xf>
    <xf numFmtId="2" fontId="21" fillId="4" borderId="174" xfId="170" applyNumberFormat="1" applyFont="1" applyFill="1" applyBorder="1" applyAlignment="1">
      <alignment horizontal="right" vertical="center"/>
    </xf>
    <xf numFmtId="2" fontId="21" fillId="4" borderId="174" xfId="69" applyNumberFormat="1" applyFont="1" applyFill="1" applyBorder="1" applyAlignment="1">
      <alignment horizontal="right" vertical="center"/>
    </xf>
    <xf numFmtId="43" fontId="21" fillId="4" borderId="174" xfId="26" applyFont="1" applyFill="1" applyBorder="1" applyAlignment="1">
      <alignment vertical="center"/>
    </xf>
    <xf numFmtId="43" fontId="21" fillId="4" borderId="174" xfId="69" applyNumberFormat="1" applyFont="1" applyFill="1" applyBorder="1" applyAlignment="1">
      <alignment vertical="center"/>
    </xf>
    <xf numFmtId="0" fontId="21" fillId="4" borderId="174" xfId="170" applyFont="1" applyFill="1" applyBorder="1" applyAlignment="1">
      <alignment horizontal="center" vertical="center" wrapText="1"/>
    </xf>
    <xf numFmtId="0" fontId="21" fillId="4" borderId="134" xfId="170" applyFont="1" applyFill="1" applyBorder="1" applyAlignment="1">
      <alignment horizontal="center" vertical="center" wrapText="1"/>
    </xf>
    <xf numFmtId="0" fontId="21" fillId="0" borderId="279" xfId="28" applyFont="1" applyFill="1" applyBorder="1" applyAlignment="1">
      <alignment horizontal="center" vertical="center"/>
    </xf>
    <xf numFmtId="0" fontId="21" fillId="0" borderId="280" xfId="28" applyFont="1" applyFill="1" applyBorder="1" applyAlignment="1">
      <alignment horizontal="center" vertical="center" wrapText="1"/>
    </xf>
    <xf numFmtId="0" fontId="21" fillId="62" borderId="129" xfId="28" applyFont="1" applyFill="1" applyBorder="1" applyAlignment="1">
      <alignment horizontal="center" vertical="center" wrapText="1"/>
    </xf>
    <xf numFmtId="0" fontId="21" fillId="62" borderId="130" xfId="28" applyFont="1" applyFill="1" applyBorder="1" applyAlignment="1">
      <alignment horizontal="center" vertical="center" wrapText="1"/>
    </xf>
    <xf numFmtId="0" fontId="21" fillId="62" borderId="173" xfId="28" applyNumberFormat="1" applyFont="1" applyFill="1" applyBorder="1" applyAlignment="1">
      <alignment horizontal="center" vertical="center"/>
    </xf>
    <xf numFmtId="0" fontId="21" fillId="62" borderId="131" xfId="170" applyFont="1" applyFill="1" applyBorder="1" applyAlignment="1">
      <alignment horizontal="center" vertical="center" wrapText="1"/>
    </xf>
    <xf numFmtId="165" fontId="21" fillId="4" borderId="276" xfId="28" applyNumberFormat="1" applyFont="1" applyFill="1" applyBorder="1" applyAlignment="1">
      <alignment horizontal="center" vertical="center"/>
    </xf>
    <xf numFmtId="2" fontId="21" fillId="4" borderId="174" xfId="69" applyNumberFormat="1" applyFont="1" applyFill="1" applyBorder="1" applyAlignment="1">
      <alignment horizontal="center" vertical="center"/>
    </xf>
    <xf numFmtId="43" fontId="21" fillId="4" borderId="174" xfId="26" applyFont="1" applyFill="1" applyBorder="1" applyAlignment="1">
      <alignment horizontal="center" vertical="center"/>
    </xf>
    <xf numFmtId="43" fontId="21" fillId="4" borderId="174" xfId="69" applyNumberFormat="1" applyFont="1" applyFill="1" applyBorder="1" applyAlignment="1">
      <alignment horizontal="center" vertical="center"/>
    </xf>
    <xf numFmtId="0" fontId="21" fillId="29" borderId="173" xfId="28" applyNumberFormat="1" applyFont="1" applyFill="1" applyBorder="1" applyAlignment="1">
      <alignment horizontal="center" vertical="center"/>
    </xf>
    <xf numFmtId="0" fontId="21" fillId="29" borderId="131" xfId="170" applyFont="1" applyFill="1" applyBorder="1" applyAlignment="1">
      <alignment horizontal="center" vertical="center" wrapText="1"/>
    </xf>
    <xf numFmtId="0" fontId="21" fillId="29" borderId="129" xfId="170" applyFont="1" applyFill="1" applyBorder="1" applyAlignment="1">
      <alignment horizontal="center" vertical="center"/>
    </xf>
    <xf numFmtId="2" fontId="21" fillId="29" borderId="129" xfId="170" applyNumberFormat="1" applyFont="1" applyFill="1" applyBorder="1" applyAlignment="1">
      <alignment horizontal="center" vertical="center"/>
    </xf>
    <xf numFmtId="2" fontId="21" fillId="29" borderId="129" xfId="69" applyNumberFormat="1" applyFont="1" applyFill="1" applyBorder="1" applyAlignment="1">
      <alignment horizontal="center" vertical="center"/>
    </xf>
    <xf numFmtId="43" fontId="21" fillId="29" borderId="129" xfId="26" applyFont="1" applyFill="1" applyBorder="1" applyAlignment="1">
      <alignment horizontal="center" vertical="center"/>
    </xf>
    <xf numFmtId="43" fontId="21" fillId="29" borderId="129" xfId="69" applyNumberFormat="1" applyFont="1" applyFill="1" applyBorder="1" applyAlignment="1">
      <alignment horizontal="center" vertical="center"/>
    </xf>
    <xf numFmtId="165" fontId="21" fillId="29" borderId="169" xfId="28" applyNumberFormat="1" applyFont="1" applyFill="1" applyBorder="1" applyAlignment="1">
      <alignment horizontal="center" vertical="center"/>
    </xf>
    <xf numFmtId="0" fontId="22" fillId="0" borderId="131" xfId="170" applyFont="1" applyFill="1" applyBorder="1" applyAlignment="1">
      <alignment horizontal="center" vertical="center" wrapText="1"/>
    </xf>
    <xf numFmtId="0" fontId="22" fillId="0" borderId="174" xfId="170" applyFont="1" applyFill="1" applyBorder="1" applyAlignment="1">
      <alignment horizontal="center" vertical="center" wrapText="1"/>
    </xf>
    <xf numFmtId="0" fontId="22" fillId="0" borderId="174" xfId="170" applyFont="1" applyFill="1" applyBorder="1" applyAlignment="1">
      <alignment horizontal="center" vertical="center"/>
    </xf>
    <xf numFmtId="2" fontId="22" fillId="0" borderId="174" xfId="170" applyNumberFormat="1" applyFont="1" applyFill="1" applyBorder="1" applyAlignment="1">
      <alignment horizontal="center" vertical="center"/>
    </xf>
    <xf numFmtId="2" fontId="22" fillId="0" borderId="174" xfId="69" applyNumberFormat="1" applyFont="1" applyFill="1" applyBorder="1" applyAlignment="1">
      <alignment horizontal="center" vertical="center"/>
    </xf>
    <xf numFmtId="43" fontId="22" fillId="0" borderId="174" xfId="26" applyFont="1" applyFill="1" applyBorder="1" applyAlignment="1">
      <alignment horizontal="center" vertical="center"/>
    </xf>
    <xf numFmtId="43" fontId="22" fillId="0" borderId="174" xfId="69" applyNumberFormat="1" applyFont="1" applyFill="1" applyBorder="1" applyAlignment="1">
      <alignment horizontal="center" vertical="center"/>
    </xf>
    <xf numFmtId="165" fontId="22" fillId="0" borderId="276" xfId="28" applyNumberFormat="1" applyFont="1" applyFill="1" applyBorder="1" applyAlignment="1">
      <alignment horizontal="center" vertical="center"/>
    </xf>
    <xf numFmtId="0" fontId="21" fillId="0" borderId="173" xfId="28" applyNumberFormat="1" applyFont="1" applyFill="1" applyBorder="1" applyAlignment="1">
      <alignment horizontal="center" vertical="center"/>
    </xf>
    <xf numFmtId="0" fontId="21" fillId="0" borderId="174" xfId="170" applyFont="1" applyFill="1" applyBorder="1" applyAlignment="1">
      <alignment horizontal="center" vertical="center" wrapText="1"/>
    </xf>
    <xf numFmtId="0" fontId="21" fillId="0" borderId="174" xfId="170" applyFont="1" applyFill="1" applyBorder="1" applyAlignment="1">
      <alignment horizontal="center" vertical="center"/>
    </xf>
    <xf numFmtId="2" fontId="21" fillId="0" borderId="174" xfId="170" applyNumberFormat="1" applyFont="1" applyFill="1" applyBorder="1" applyAlignment="1">
      <alignment horizontal="center" vertical="center"/>
    </xf>
    <xf numFmtId="2" fontId="21" fillId="0" borderId="174" xfId="69" applyNumberFormat="1" applyFont="1" applyFill="1" applyBorder="1" applyAlignment="1">
      <alignment horizontal="center" vertical="center"/>
    </xf>
    <xf numFmtId="43" fontId="21" fillId="0" borderId="174" xfId="26" applyFont="1" applyFill="1" applyBorder="1" applyAlignment="1">
      <alignment horizontal="center" vertical="center"/>
    </xf>
    <xf numFmtId="43" fontId="21" fillId="0" borderId="174" xfId="69" applyNumberFormat="1" applyFont="1" applyFill="1" applyBorder="1" applyAlignment="1">
      <alignment horizontal="center" vertical="center"/>
    </xf>
    <xf numFmtId="165" fontId="21" fillId="0" borderId="276" xfId="28" applyNumberFormat="1" applyFont="1" applyFill="1" applyBorder="1" applyAlignment="1">
      <alignment horizontal="center" vertical="center"/>
    </xf>
    <xf numFmtId="0" fontId="21" fillId="0" borderId="129" xfId="170" applyFont="1" applyFill="1" applyBorder="1" applyAlignment="1">
      <alignment horizontal="center" vertical="center"/>
    </xf>
    <xf numFmtId="2" fontId="21" fillId="0" borderId="129" xfId="170" applyNumberFormat="1" applyFont="1" applyFill="1" applyBorder="1" applyAlignment="1">
      <alignment horizontal="center" vertical="center"/>
    </xf>
    <xf numFmtId="2" fontId="21" fillId="0" borderId="129" xfId="69" applyNumberFormat="1" applyFont="1" applyFill="1" applyBorder="1" applyAlignment="1">
      <alignment horizontal="center" vertical="center"/>
    </xf>
    <xf numFmtId="43" fontId="21" fillId="0" borderId="129" xfId="26" applyNumberFormat="1" applyFont="1" applyFill="1" applyBorder="1" applyAlignment="1">
      <alignment horizontal="center" vertical="center"/>
    </xf>
    <xf numFmtId="43" fontId="21" fillId="0" borderId="129" xfId="26" applyFont="1" applyFill="1" applyBorder="1" applyAlignment="1">
      <alignment horizontal="center" vertical="center"/>
    </xf>
    <xf numFmtId="43" fontId="21" fillId="0" borderId="129" xfId="69" applyNumberFormat="1" applyFont="1" applyFill="1" applyBorder="1" applyAlignment="1">
      <alignment horizontal="center" vertical="center"/>
    </xf>
    <xf numFmtId="165" fontId="21" fillId="0" borderId="169" xfId="28" applyNumberFormat="1" applyFont="1" applyFill="1" applyBorder="1" applyAlignment="1">
      <alignment horizontal="center" vertical="center"/>
    </xf>
    <xf numFmtId="43" fontId="21" fillId="0" borderId="174" xfId="26" applyNumberFormat="1" applyFont="1" applyFill="1" applyBorder="1" applyAlignment="1">
      <alignment horizontal="center" vertical="center"/>
    </xf>
    <xf numFmtId="0" fontId="20" fillId="0" borderId="154" xfId="31" applyFont="1" applyFill="1" applyBorder="1" applyAlignment="1">
      <alignment horizontal="center" vertical="center"/>
    </xf>
    <xf numFmtId="0" fontId="20" fillId="0" borderId="155" xfId="31" applyFont="1" applyFill="1" applyBorder="1" applyAlignment="1">
      <alignment horizontal="center" vertical="center"/>
    </xf>
    <xf numFmtId="0" fontId="20" fillId="0" borderId="156" xfId="31" applyFont="1" applyFill="1" applyBorder="1" applyAlignment="1">
      <alignment horizontal="center" vertical="center"/>
    </xf>
    <xf numFmtId="0" fontId="56" fillId="17" borderId="117" xfId="0" applyFont="1" applyFill="1" applyBorder="1" applyAlignment="1">
      <alignment horizontal="center" vertical="center" wrapText="1"/>
    </xf>
    <xf numFmtId="0" fontId="56" fillId="17" borderId="113" xfId="0" applyFont="1" applyFill="1" applyBorder="1" applyAlignment="1">
      <alignment horizontal="center" vertical="center" wrapText="1"/>
    </xf>
    <xf numFmtId="0" fontId="56" fillId="17" borderId="118" xfId="0" applyFont="1" applyFill="1" applyBorder="1" applyAlignment="1">
      <alignment horizontal="center" vertical="center" wrapText="1"/>
    </xf>
    <xf numFmtId="0" fontId="56" fillId="17" borderId="122" xfId="0" applyFont="1" applyFill="1" applyBorder="1" applyAlignment="1">
      <alignment horizontal="center" vertical="center" wrapText="1"/>
    </xf>
    <xf numFmtId="16" fontId="56" fillId="17" borderId="117" xfId="0" applyNumberFormat="1" applyFont="1" applyFill="1" applyBorder="1" applyAlignment="1">
      <alignment horizontal="center" vertical="center" wrapText="1"/>
    </xf>
    <xf numFmtId="16" fontId="56" fillId="17" borderId="113" xfId="0" applyNumberFormat="1" applyFont="1" applyFill="1" applyBorder="1" applyAlignment="1">
      <alignment horizontal="center" vertical="center" wrapText="1"/>
    </xf>
    <xf numFmtId="0" fontId="56" fillId="17" borderId="121" xfId="0" applyFont="1" applyFill="1" applyBorder="1" applyAlignment="1">
      <alignment horizontal="center" vertical="center" wrapText="1"/>
    </xf>
    <xf numFmtId="0" fontId="56" fillId="17" borderId="12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13" fillId="3" borderId="101" xfId="0" applyFont="1" applyFill="1" applyBorder="1" applyAlignment="1" applyProtection="1">
      <alignment horizontal="center"/>
      <protection locked="0"/>
    </xf>
    <xf numFmtId="0" fontId="13" fillId="3" borderId="102" xfId="0" applyFont="1" applyFill="1" applyBorder="1" applyAlignment="1" applyProtection="1">
      <alignment horizontal="center"/>
      <protection locked="0"/>
    </xf>
    <xf numFmtId="0" fontId="13" fillId="3" borderId="19" xfId="0" applyFont="1" applyFill="1" applyBorder="1" applyAlignment="1" applyProtection="1">
      <alignment horizontal="center"/>
      <protection locked="0"/>
    </xf>
    <xf numFmtId="10" fontId="13" fillId="3" borderId="101" xfId="30" applyNumberFormat="1" applyFont="1" applyFill="1" applyBorder="1" applyAlignment="1" applyProtection="1">
      <alignment horizontal="center"/>
      <protection locked="0"/>
    </xf>
    <xf numFmtId="10" fontId="13" fillId="3" borderId="104" xfId="3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29" fillId="0" borderId="34" xfId="36" applyFont="1" applyFill="1" applyBorder="1" applyAlignment="1">
      <alignment horizontal="center" vertical="center"/>
    </xf>
    <xf numFmtId="0" fontId="29" fillId="0" borderId="37" xfId="36" applyFont="1" applyFill="1" applyBorder="1" applyAlignment="1">
      <alignment horizontal="center" vertical="center"/>
    </xf>
    <xf numFmtId="0" fontId="32" fillId="11" borderId="44" xfId="36" applyFont="1" applyFill="1" applyBorder="1" applyAlignment="1">
      <alignment horizontal="center" vertical="top"/>
    </xf>
    <xf numFmtId="0" fontId="32" fillId="11" borderId="49" xfId="36" applyFont="1" applyFill="1" applyBorder="1" applyAlignment="1">
      <alignment horizontal="center" vertical="top"/>
    </xf>
    <xf numFmtId="0" fontId="32" fillId="11" borderId="45" xfId="36" applyFont="1" applyFill="1" applyBorder="1" applyAlignment="1">
      <alignment horizontal="left" vertical="top" wrapText="1"/>
    </xf>
    <xf numFmtId="0" fontId="32" fillId="11" borderId="50" xfId="36" applyFont="1" applyFill="1" applyBorder="1" applyAlignment="1">
      <alignment horizontal="left" vertical="top" wrapText="1"/>
    </xf>
    <xf numFmtId="0" fontId="29" fillId="11" borderId="0" xfId="36" applyFont="1" applyFill="1" applyBorder="1" applyAlignment="1">
      <alignment horizontal="center" vertical="center" textRotation="180"/>
    </xf>
    <xf numFmtId="0" fontId="29" fillId="11" borderId="31" xfId="36" applyFont="1" applyFill="1" applyBorder="1" applyAlignment="1">
      <alignment horizontal="center" vertical="center" textRotation="180"/>
    </xf>
    <xf numFmtId="0" fontId="32" fillId="11" borderId="59" xfId="36" applyFont="1" applyFill="1" applyBorder="1" applyAlignment="1">
      <alignment horizontal="center" vertical="top"/>
    </xf>
    <xf numFmtId="0" fontId="32" fillId="11" borderId="45" xfId="36" applyFont="1" applyFill="1" applyBorder="1" applyAlignment="1">
      <alignment horizontal="center" vertical="top"/>
    </xf>
    <xf numFmtId="0" fontId="32" fillId="11" borderId="55" xfId="36" applyFont="1" applyFill="1" applyBorder="1" applyAlignment="1">
      <alignment horizontal="justify" vertical="top"/>
    </xf>
    <xf numFmtId="0" fontId="46" fillId="11" borderId="95" xfId="36" applyFont="1" applyFill="1" applyBorder="1" applyAlignment="1">
      <alignment horizontal="center" vertical="center" textRotation="180"/>
    </xf>
    <xf numFmtId="0" fontId="46" fillId="11" borderId="96" xfId="36" applyFont="1" applyFill="1" applyBorder="1" applyAlignment="1">
      <alignment horizontal="center" vertical="center" textRotation="180"/>
    </xf>
    <xf numFmtId="0" fontId="46" fillId="11" borderId="97" xfId="36" applyFont="1" applyFill="1" applyBorder="1" applyAlignment="1">
      <alignment horizontal="center" vertical="center" textRotation="180"/>
    </xf>
    <xf numFmtId="0" fontId="46" fillId="11" borderId="98" xfId="36" applyFont="1" applyFill="1" applyBorder="1" applyAlignment="1">
      <alignment horizontal="center" vertical="center" textRotation="180"/>
    </xf>
    <xf numFmtId="0" fontId="29" fillId="11" borderId="34" xfId="36" applyFont="1" applyFill="1" applyBorder="1" applyAlignment="1">
      <alignment horizontal="center" vertical="center" textRotation="180" wrapText="1"/>
    </xf>
    <xf numFmtId="0" fontId="29" fillId="11" borderId="38" xfId="36" applyFont="1" applyFill="1" applyBorder="1" applyAlignment="1">
      <alignment horizontal="center" vertical="center" textRotation="180" wrapText="1"/>
    </xf>
    <xf numFmtId="0" fontId="29" fillId="11" borderId="63" xfId="36" applyFont="1" applyFill="1" applyBorder="1" applyAlignment="1">
      <alignment horizontal="center" vertical="center" textRotation="180" wrapText="1"/>
    </xf>
    <xf numFmtId="0" fontId="29" fillId="11" borderId="35" xfId="36" applyFont="1" applyFill="1" applyBorder="1" applyAlignment="1">
      <alignment horizontal="center" vertical="center"/>
    </xf>
    <xf numFmtId="0" fontId="29" fillId="11" borderId="39" xfId="36" applyFont="1" applyFill="1" applyBorder="1" applyAlignment="1">
      <alignment horizontal="center" vertical="center"/>
    </xf>
    <xf numFmtId="0" fontId="29" fillId="0" borderId="36" xfId="36" applyFont="1" applyFill="1" applyBorder="1" applyAlignment="1">
      <alignment horizontal="center" vertical="center"/>
    </xf>
    <xf numFmtId="0" fontId="32" fillId="0" borderId="59" xfId="36" applyFont="1" applyFill="1" applyBorder="1" applyAlignment="1">
      <alignment horizontal="center" vertical="top"/>
    </xf>
    <xf numFmtId="0" fontId="32" fillId="0" borderId="66" xfId="36" applyFont="1" applyFill="1" applyBorder="1" applyAlignment="1">
      <alignment horizontal="center" vertical="top"/>
    </xf>
    <xf numFmtId="0" fontId="32" fillId="0" borderId="55" xfId="36" applyFont="1" applyFill="1" applyBorder="1" applyAlignment="1">
      <alignment horizontal="justify" vertical="top"/>
    </xf>
    <xf numFmtId="0" fontId="32" fillId="0" borderId="67" xfId="36" applyFont="1" applyFill="1" applyBorder="1" applyAlignment="1">
      <alignment horizontal="justify" vertical="top"/>
    </xf>
    <xf numFmtId="0" fontId="38" fillId="11" borderId="72" xfId="36" applyFont="1" applyFill="1" applyBorder="1" applyAlignment="1">
      <alignment horizontal="left" vertical="center" textRotation="180"/>
    </xf>
    <xf numFmtId="0" fontId="38" fillId="11" borderId="75" xfId="36" applyFont="1" applyFill="1" applyBorder="1" applyAlignment="1">
      <alignment horizontal="left" vertical="center" textRotation="180"/>
    </xf>
    <xf numFmtId="0" fontId="38" fillId="11" borderId="99" xfId="36" applyFont="1" applyFill="1" applyBorder="1" applyAlignment="1">
      <alignment horizontal="left" vertical="center" textRotation="180"/>
    </xf>
    <xf numFmtId="0" fontId="29" fillId="11" borderId="93" xfId="36" applyFont="1" applyFill="1" applyBorder="1" applyAlignment="1">
      <alignment horizontal="left" vertical="center" wrapText="1"/>
    </xf>
    <xf numFmtId="0" fontId="29" fillId="11" borderId="94" xfId="36" applyFont="1" applyFill="1" applyBorder="1" applyAlignment="1">
      <alignment horizontal="left" vertical="center" wrapText="1"/>
    </xf>
    <xf numFmtId="0" fontId="65" fillId="0" borderId="148" xfId="0" applyFont="1" applyBorder="1" applyAlignment="1">
      <alignment horizontal="center" vertical="center" wrapText="1"/>
    </xf>
    <xf numFmtId="0" fontId="65" fillId="0" borderId="142" xfId="0" applyFont="1" applyBorder="1" applyAlignment="1">
      <alignment horizontal="center" vertical="center" wrapText="1"/>
    </xf>
    <xf numFmtId="0" fontId="65" fillId="0" borderId="141" xfId="0" applyFont="1" applyBorder="1" applyAlignment="1">
      <alignment horizontal="center" vertical="center" wrapText="1"/>
    </xf>
    <xf numFmtId="0" fontId="66" fillId="24" borderId="148" xfId="0" applyFont="1" applyFill="1" applyBorder="1" applyAlignment="1">
      <alignment horizontal="center" vertical="center" wrapText="1"/>
    </xf>
    <xf numFmtId="0" fontId="66" fillId="24" borderId="142" xfId="0" applyFont="1" applyFill="1" applyBorder="1" applyAlignment="1">
      <alignment horizontal="center" vertical="center" wrapText="1"/>
    </xf>
    <xf numFmtId="0" fontId="66" fillId="24" borderId="141" xfId="0" applyFont="1" applyFill="1" applyBorder="1" applyAlignment="1">
      <alignment horizontal="center" vertical="center" wrapText="1"/>
    </xf>
    <xf numFmtId="0" fontId="66" fillId="0" borderId="148" xfId="0" applyFont="1" applyBorder="1" applyAlignment="1">
      <alignment horizontal="center" vertical="center" wrapText="1"/>
    </xf>
    <xf numFmtId="0" fontId="66" fillId="0" borderId="142" xfId="0" applyFont="1" applyBorder="1" applyAlignment="1">
      <alignment horizontal="center" vertical="center" wrapText="1"/>
    </xf>
    <xf numFmtId="0" fontId="66" fillId="0" borderId="141" xfId="0" applyFont="1" applyBorder="1" applyAlignment="1">
      <alignment horizontal="center" vertical="center" wrapText="1"/>
    </xf>
    <xf numFmtId="0" fontId="67" fillId="0" borderId="148" xfId="0" applyFont="1" applyBorder="1" applyAlignment="1">
      <alignment horizontal="center" vertical="center" wrapText="1"/>
    </xf>
    <xf numFmtId="0" fontId="67" fillId="0" borderId="142" xfId="0" applyFont="1" applyBorder="1" applyAlignment="1">
      <alignment horizontal="center" vertical="center" wrapText="1"/>
    </xf>
    <xf numFmtId="0" fontId="67" fillId="0" borderId="141" xfId="0" applyFont="1" applyBorder="1" applyAlignment="1">
      <alignment horizontal="center" vertical="center" wrapText="1"/>
    </xf>
    <xf numFmtId="0" fontId="68" fillId="0" borderId="148" xfId="0" applyFont="1" applyBorder="1" applyAlignment="1">
      <alignment horizontal="center" vertical="center" wrapText="1"/>
    </xf>
    <xf numFmtId="0" fontId="68" fillId="0" borderId="142" xfId="0" applyFont="1" applyBorder="1" applyAlignment="1">
      <alignment horizontal="center" vertical="center" wrapText="1"/>
    </xf>
    <xf numFmtId="0" fontId="68" fillId="0" borderId="141" xfId="0" applyFont="1" applyBorder="1" applyAlignment="1">
      <alignment horizontal="center" vertical="center" wrapText="1"/>
    </xf>
    <xf numFmtId="0" fontId="66" fillId="23" borderId="148" xfId="0" applyFont="1" applyFill="1" applyBorder="1" applyAlignment="1">
      <alignment horizontal="center" vertical="center" wrapText="1"/>
    </xf>
    <xf numFmtId="0" fontId="66" fillId="23" borderId="142" xfId="0" applyFont="1" applyFill="1" applyBorder="1" applyAlignment="1">
      <alignment horizontal="center" vertical="center" wrapText="1"/>
    </xf>
    <xf numFmtId="0" fontId="66" fillId="23" borderId="141" xfId="0" applyFont="1" applyFill="1" applyBorder="1" applyAlignment="1">
      <alignment horizontal="center" vertical="center" wrapText="1"/>
    </xf>
    <xf numFmtId="0" fontId="65" fillId="0" borderId="149" xfId="0" applyFont="1" applyBorder="1" applyAlignment="1">
      <alignment horizontal="center" vertical="center" wrapText="1"/>
    </xf>
    <xf numFmtId="0" fontId="65" fillId="0" borderId="146" xfId="0" applyFont="1" applyBorder="1" applyAlignment="1">
      <alignment horizontal="center" vertical="center" wrapText="1"/>
    </xf>
    <xf numFmtId="0" fontId="65" fillId="0" borderId="145" xfId="0" applyFont="1" applyBorder="1" applyAlignment="1">
      <alignment horizontal="center" vertical="center" wrapText="1"/>
    </xf>
    <xf numFmtId="0" fontId="68" fillId="0" borderId="150" xfId="0" applyFont="1" applyBorder="1" applyAlignment="1">
      <alignment horizontal="center" vertical="center" wrapText="1"/>
    </xf>
    <xf numFmtId="0" fontId="68" fillId="0" borderId="151" xfId="0" applyFont="1" applyBorder="1" applyAlignment="1">
      <alignment horizontal="center" vertical="center" wrapText="1"/>
    </xf>
    <xf numFmtId="0" fontId="68" fillId="0" borderId="152" xfId="0" applyFont="1" applyBorder="1" applyAlignment="1">
      <alignment horizontal="center" vertical="center" wrapText="1"/>
    </xf>
    <xf numFmtId="0" fontId="66" fillId="0" borderId="148" xfId="0" applyFont="1" applyBorder="1" applyAlignment="1">
      <alignment horizontal="justify" vertical="center" wrapText="1"/>
    </xf>
    <xf numFmtId="0" fontId="66" fillId="0" borderId="141" xfId="0" applyFont="1" applyBorder="1" applyAlignment="1">
      <alignment horizontal="justify" vertical="center" wrapText="1"/>
    </xf>
    <xf numFmtId="0" fontId="67" fillId="0" borderId="148" xfId="0" applyFont="1" applyBorder="1" applyAlignment="1">
      <alignment horizontal="justify" vertical="center" wrapText="1"/>
    </xf>
    <xf numFmtId="0" fontId="67" fillId="0" borderId="141" xfId="0" applyFont="1" applyBorder="1" applyAlignment="1">
      <alignment horizontal="justify" vertical="center" wrapText="1"/>
    </xf>
    <xf numFmtId="0" fontId="66" fillId="0" borderId="142" xfId="0" applyFont="1" applyBorder="1" applyAlignment="1">
      <alignment horizontal="justify" vertical="center" wrapText="1"/>
    </xf>
    <xf numFmtId="0" fontId="66" fillId="0" borderId="150" xfId="0" applyFont="1" applyBorder="1" applyAlignment="1">
      <alignment horizontal="justify" vertical="center" wrapText="1"/>
    </xf>
    <xf numFmtId="0" fontId="66" fillId="0" borderId="151" xfId="0" applyFont="1" applyBorder="1" applyAlignment="1">
      <alignment horizontal="justify" vertical="center" wrapText="1"/>
    </xf>
    <xf numFmtId="0" fontId="66" fillId="0" borderId="152" xfId="0" applyFont="1" applyBorder="1" applyAlignment="1">
      <alignment horizontal="justify" vertical="center" wrapText="1"/>
    </xf>
    <xf numFmtId="0" fontId="67" fillId="0" borderId="142" xfId="0" applyFont="1" applyBorder="1" applyAlignment="1">
      <alignment horizontal="justify" vertical="center" wrapText="1"/>
    </xf>
    <xf numFmtId="0" fontId="65" fillId="0" borderId="150" xfId="0" applyFont="1" applyBorder="1" applyAlignment="1">
      <alignment vertical="center" wrapText="1"/>
    </xf>
    <xf numFmtId="0" fontId="65" fillId="0" borderId="152" xfId="0" applyFont="1" applyBorder="1" applyAlignment="1">
      <alignment vertical="center" wrapText="1"/>
    </xf>
    <xf numFmtId="0" fontId="65" fillId="0" borderId="150" xfId="0" applyFont="1" applyBorder="1" applyAlignment="1">
      <alignment horizontal="center" vertical="center" wrapText="1"/>
    </xf>
    <xf numFmtId="0" fontId="65" fillId="0" borderId="151" xfId="0" applyFont="1" applyBorder="1" applyAlignment="1">
      <alignment horizontal="center" vertical="center" wrapText="1"/>
    </xf>
    <xf numFmtId="0" fontId="65" fillId="0" borderId="152" xfId="0" applyFont="1" applyBorder="1" applyAlignment="1">
      <alignment horizontal="center" vertical="center" wrapText="1"/>
    </xf>
  </cellXfs>
  <cellStyles count="3028">
    <cellStyle name="0,0_x000d__x000a_NA_x000d__x000a_" xfId="45"/>
    <cellStyle name="0,0_x000d__x000a_NA_x000d__x000a_ 2" xfId="46"/>
    <cellStyle name="20% - Ênfase1" xfId="224" builtinId="30" customBuiltin="1"/>
    <cellStyle name="20% - Ênfase2" xfId="228" builtinId="34" customBuiltin="1"/>
    <cellStyle name="20% - Ênfase3" xfId="232" builtinId="38" customBuiltin="1"/>
    <cellStyle name="20% - Ênfase4" xfId="236" builtinId="42" customBuiltin="1"/>
    <cellStyle name="20% - Ênfase5" xfId="240" builtinId="46" customBuiltin="1"/>
    <cellStyle name="20% - Ênfase6" xfId="244" builtinId="50" customBuiltin="1"/>
    <cellStyle name="40% - Ênfase1" xfId="225" builtinId="31" customBuiltin="1"/>
    <cellStyle name="40% - Ênfase2" xfId="229" builtinId="35" customBuiltin="1"/>
    <cellStyle name="40% - Ênfase3" xfId="233" builtinId="39" customBuiltin="1"/>
    <cellStyle name="40% - Ênfase4" xfId="237" builtinId="43" customBuiltin="1"/>
    <cellStyle name="40% - Ênfase5" xfId="241" builtinId="47" customBuiltin="1"/>
    <cellStyle name="40% - Ênfase6" xfId="245" builtinId="51" customBuiltin="1"/>
    <cellStyle name="60% - Ênfase1" xfId="226" builtinId="32" customBuiltin="1"/>
    <cellStyle name="60% - Ênfase2" xfId="230" builtinId="36" customBuiltin="1"/>
    <cellStyle name="60% - Ênfase3" xfId="234" builtinId="40" customBuiltin="1"/>
    <cellStyle name="60% - Ênfase4" xfId="238" builtinId="44" customBuiltin="1"/>
    <cellStyle name="60% - Ênfase5" xfId="242" builtinId="48" customBuiltin="1"/>
    <cellStyle name="60% - Ênfase6" xfId="246" builtinId="52" customBuiltin="1"/>
    <cellStyle name="Bom" xfId="211" builtinId="26" customBuiltin="1"/>
    <cellStyle name="Cálculo" xfId="216" builtinId="22" customBuiltin="1"/>
    <cellStyle name="Célula de Verificação" xfId="218" builtinId="23" customBuiltin="1"/>
    <cellStyle name="Célula Vinculada" xfId="217" builtinId="24" customBuiltin="1"/>
    <cellStyle name="Data" xfId="2"/>
    <cellStyle name="Data 2" xfId="171"/>
    <cellStyle name="Ênfase1" xfId="223" builtinId="29" customBuiltin="1"/>
    <cellStyle name="Ênfase2" xfId="227" builtinId="33" customBuiltin="1"/>
    <cellStyle name="Ênfase3" xfId="231" builtinId="37" customBuiltin="1"/>
    <cellStyle name="Ênfase4" xfId="235" builtinId="41" customBuiltin="1"/>
    <cellStyle name="Ênfase5" xfId="239" builtinId="45" customBuiltin="1"/>
    <cellStyle name="Ênfase6" xfId="243" builtinId="49" customBuiltin="1"/>
    <cellStyle name="Entrada" xfId="214" builtinId="20" customBuiltin="1"/>
    <cellStyle name="Estilo 1" xfId="47"/>
    <cellStyle name="Estilo 2" xfId="2266"/>
    <cellStyle name="Euro" xfId="48"/>
    <cellStyle name="Euro 2" xfId="49"/>
    <cellStyle name="Euro 3" xfId="50"/>
    <cellStyle name="Excel Built-in Normal" xfId="51"/>
    <cellStyle name="Excel Built-in Normal 1" xfId="52"/>
    <cellStyle name="Excel Built-in Normal 2" xfId="53"/>
    <cellStyle name="Fixo" xfId="3"/>
    <cellStyle name="Fixo 2" xfId="172"/>
    <cellStyle name="Hiperlink 2" xfId="54"/>
    <cellStyle name="Hyperlink 2" xfId="55"/>
    <cellStyle name="Hyperlink 3" xfId="56"/>
    <cellStyle name="Incorreto" xfId="212" builtinId="27" customBuiltin="1"/>
    <cellStyle name="Indefinido" xfId="57"/>
    <cellStyle name="Millares_ORC209" xfId="58"/>
    <cellStyle name="Moeda" xfId="27" builtinId="4"/>
    <cellStyle name="Moeda 10" xfId="365"/>
    <cellStyle name="Moeda 10 2" xfId="2407"/>
    <cellStyle name="Moeda 11" xfId="2268"/>
    <cellStyle name="Moeda 2" xfId="59"/>
    <cellStyle name="Moeda 2 31" xfId="166"/>
    <cellStyle name="Moeda 3" xfId="60"/>
    <cellStyle name="Moeda 3 2" xfId="61"/>
    <cellStyle name="Moeda 4" xfId="62"/>
    <cellStyle name="Moeda 5" xfId="63"/>
    <cellStyle name="Moeda 6" xfId="182"/>
    <cellStyle name="Moeda 6 2" xfId="259"/>
    <cellStyle name="Moeda 6 2 2" xfId="329"/>
    <cellStyle name="Moeda 6 2 2 2" xfId="550"/>
    <cellStyle name="Moeda 6 2 2 2 2" xfId="2592"/>
    <cellStyle name="Moeda 6 2 2 3" xfId="2372"/>
    <cellStyle name="Moeda 6 2 3" xfId="480"/>
    <cellStyle name="Moeda 6 2 3 2" xfId="2522"/>
    <cellStyle name="Moeda 6 2 4" xfId="2309"/>
    <cellStyle name="Moeda 6 3" xfId="293"/>
    <cellStyle name="Moeda 6 3 2" xfId="514"/>
    <cellStyle name="Moeda 6 3 2 2" xfId="2556"/>
    <cellStyle name="Moeda 6 3 3" xfId="2336"/>
    <cellStyle name="Moeda 6 4" xfId="431"/>
    <cellStyle name="Moeda 6 4 2" xfId="2473"/>
    <cellStyle name="Moeda 6 5" xfId="2278"/>
    <cellStyle name="Moeda 7" xfId="202"/>
    <cellStyle name="Moeda 7 2" xfId="313"/>
    <cellStyle name="Moeda 7 2 2" xfId="534"/>
    <cellStyle name="Moeda 7 2 2 2" xfId="2576"/>
    <cellStyle name="Moeda 7 2 3" xfId="2356"/>
    <cellStyle name="Moeda 7 3" xfId="450"/>
    <cellStyle name="Moeda 7 3 2" xfId="2492"/>
    <cellStyle name="Moeda 7 4" xfId="2296"/>
    <cellStyle name="Moeda 8" xfId="248"/>
    <cellStyle name="Moeda 8 2" xfId="319"/>
    <cellStyle name="Moeda 8 2 2" xfId="540"/>
    <cellStyle name="Moeda 8 2 2 2" xfId="2582"/>
    <cellStyle name="Moeda 8 2 3" xfId="2362"/>
    <cellStyle name="Moeda 8 3" xfId="470"/>
    <cellStyle name="Moeda 8 3 2" xfId="2512"/>
    <cellStyle name="Moeda 8 4" xfId="2300"/>
    <cellStyle name="Moeda 9" xfId="283"/>
    <cellStyle name="Moeda 9 2" xfId="504"/>
    <cellStyle name="Moeda 9 2 2" xfId="2546"/>
    <cellStyle name="Moeda 9 3" xfId="2326"/>
    <cellStyle name="Moeda0" xfId="4"/>
    <cellStyle name="Moeda0 2" xfId="173"/>
    <cellStyle name="Moneda_ORC209" xfId="64"/>
    <cellStyle name="Neutra" xfId="213" builtinId="28" customBuiltin="1"/>
    <cellStyle name="Normal" xfId="0" builtinId="0"/>
    <cellStyle name="Normal 10" xfId="65"/>
    <cellStyle name="Normal 10 2" xfId="66"/>
    <cellStyle name="Normal 10 2 2" xfId="165"/>
    <cellStyle name="Normal 10 2 3" xfId="167"/>
    <cellStyle name="Normal 11" xfId="33"/>
    <cellStyle name="Normal 11 2" xfId="163"/>
    <cellStyle name="Normal 12" xfId="67"/>
    <cellStyle name="Normal 12 2" xfId="68"/>
    <cellStyle name="Normal 13" xfId="162"/>
    <cellStyle name="Normal 13 3" xfId="352"/>
    <cellStyle name="Normal 165" xfId="5"/>
    <cellStyle name="Normal 165 2" xfId="28"/>
    <cellStyle name="Normal 165 2 2" xfId="170"/>
    <cellStyle name="Normal 2" xfId="6"/>
    <cellStyle name="Normal 2 2" xfId="31"/>
    <cellStyle name="Normal 2 2 2" xfId="36"/>
    <cellStyle name="Normal 2 2 3" xfId="69"/>
    <cellStyle name="Normal 2 2 3 2" xfId="169"/>
    <cellStyle name="Normal 2 2 4" xfId="41"/>
    <cellStyle name="Normal 2 3" xfId="70"/>
    <cellStyle name="Normal 2 3 2" xfId="71"/>
    <cellStyle name="Normal 2 3 3" xfId="72"/>
    <cellStyle name="Normal 2 4" xfId="73"/>
    <cellStyle name="Normal 2 4 2" xfId="74"/>
    <cellStyle name="Normal 2 4 3" xfId="75"/>
    <cellStyle name="Normal 2 5" xfId="76"/>
    <cellStyle name="Normal 2 5 2" xfId="77"/>
    <cellStyle name="Normal 2 5 3" xfId="78"/>
    <cellStyle name="Normal 2 6" xfId="79"/>
    <cellStyle name="Normal 2 6 2" xfId="80"/>
    <cellStyle name="Normal 2 6 3" xfId="81"/>
    <cellStyle name="Normal 2 7" xfId="82"/>
    <cellStyle name="Normal 2 7 2" xfId="83"/>
    <cellStyle name="Normal 2 7 2 2" xfId="84"/>
    <cellStyle name="Normal 2 7 2 2 2" xfId="85"/>
    <cellStyle name="Normal 2 7 2 2 3" xfId="86"/>
    <cellStyle name="Normal 2 7 2 3" xfId="87"/>
    <cellStyle name="Normal 2 7 2 4" xfId="88"/>
    <cellStyle name="Normal 2 7 3" xfId="89"/>
    <cellStyle name="Normal 2 7 4" xfId="90"/>
    <cellStyle name="Normal 2 8" xfId="91"/>
    <cellStyle name="Normal 2_Quantitativo SPDA" xfId="92"/>
    <cellStyle name="Normal 3" xfId="7"/>
    <cellStyle name="Normal 3 2" xfId="93"/>
    <cellStyle name="Normal 3 2 2" xfId="94"/>
    <cellStyle name="Normal 3 2 3" xfId="95"/>
    <cellStyle name="Normal 3 2 4" xfId="3026"/>
    <cellStyle name="Normal 3 3" xfId="96"/>
    <cellStyle name="Normal 3 3 2" xfId="97"/>
    <cellStyle name="Normal 3 3 3" xfId="98"/>
    <cellStyle name="Normal 3 3 4" xfId="168"/>
    <cellStyle name="Normal 3 4" xfId="99"/>
    <cellStyle name="Normal 3 4 2" xfId="100"/>
    <cellStyle name="Normal 3 4 3" xfId="101"/>
    <cellStyle name="Normal 3 5" xfId="102"/>
    <cellStyle name="Normal 3 5 2" xfId="103"/>
    <cellStyle name="Normal 3 5 2 2" xfId="104"/>
    <cellStyle name="Normal 3 5 2 3" xfId="105"/>
    <cellStyle name="Normal 3 5 3" xfId="106"/>
    <cellStyle name="Normal 3 5 4" xfId="107"/>
    <cellStyle name="Normal 3 6" xfId="108"/>
    <cellStyle name="Normal 3 6 2" xfId="109"/>
    <cellStyle name="Normal 3 6 3" xfId="110"/>
    <cellStyle name="Normal 3 7" xfId="111"/>
    <cellStyle name="Normal 3 8" xfId="112"/>
    <cellStyle name="Normal 3 9" xfId="113"/>
    <cellStyle name="Normal 3_PLANILHAS REDES EXTERNAS E ETE" xfId="114"/>
    <cellStyle name="Normal 4" xfId="8"/>
    <cellStyle name="Normal 4 2" xfId="115"/>
    <cellStyle name="Normal 5" xfId="9"/>
    <cellStyle name="Normal 6" xfId="10"/>
    <cellStyle name="Normal 7" xfId="1"/>
    <cellStyle name="Normal 7 2" xfId="116"/>
    <cellStyle name="Normal 8" xfId="34"/>
    <cellStyle name="Normal 8 2" xfId="40"/>
    <cellStyle name="Normal 9" xfId="37"/>
    <cellStyle name="Normal 9 2" xfId="117"/>
    <cellStyle name="Nota" xfId="220" builtinId="10" customBuiltin="1"/>
    <cellStyle name="Porcentagem" xfId="30" builtinId="5"/>
    <cellStyle name="Porcentagem 2" xfId="12"/>
    <cellStyle name="Porcentagem 2 2" xfId="13"/>
    <cellStyle name="Porcentagem 2 2 2" xfId="174"/>
    <cellStyle name="Porcentagem 3" xfId="14"/>
    <cellStyle name="Porcentagem 3 2" xfId="118"/>
    <cellStyle name="Porcentagem 3 2 2" xfId="3025"/>
    <cellStyle name="Porcentagem 3 3" xfId="119"/>
    <cellStyle name="Porcentagem 4" xfId="11"/>
    <cellStyle name="Porcentagem 4 2" xfId="38"/>
    <cellStyle name="Porcentagem 5" xfId="120"/>
    <cellStyle name="Porcentagem 5 2" xfId="43"/>
    <cellStyle name="Porcentagem 6" xfId="121"/>
    <cellStyle name="Porcentagem 7" xfId="122"/>
    <cellStyle name="Porcentagem 8" xfId="123"/>
    <cellStyle name="Saída" xfId="215" builtinId="21" customBuiltin="1"/>
    <cellStyle name="Separador de m" xfId="124"/>
    <cellStyle name="Separador de milhares 10" xfId="125"/>
    <cellStyle name="Separador de milhares 10 2" xfId="185"/>
    <cellStyle name="Separador de milhares 10 2 2" xfId="262"/>
    <cellStyle name="Separador de milhares 10 2 2 2" xfId="332"/>
    <cellStyle name="Separador de milhares 10 2 2 2 2" xfId="553"/>
    <cellStyle name="Separador de milhares 10 2 2 2 2 2" xfId="1304"/>
    <cellStyle name="Separador de milhares 10 2 2 2 2 3" xfId="2595"/>
    <cellStyle name="Separador de milhares 10 2 2 2 3" xfId="1094"/>
    <cellStyle name="Separador de milhares 10 2 2 2 4" xfId="2375"/>
    <cellStyle name="Separador de milhares 10 2 2 3" xfId="483"/>
    <cellStyle name="Separador de milhares 10 2 2 3 2" xfId="1239"/>
    <cellStyle name="Separador de milhares 10 2 2 3 3" xfId="2525"/>
    <cellStyle name="Separador de milhares 10 2 2 4" xfId="1029"/>
    <cellStyle name="Separador de milhares 10 2 2 5" xfId="2312"/>
    <cellStyle name="Separador de milhares 10 2 3" xfId="296"/>
    <cellStyle name="Separador de milhares 10 2 3 2" xfId="517"/>
    <cellStyle name="Separador de milhares 10 2 3 2 2" xfId="1271"/>
    <cellStyle name="Separador de milhares 10 2 3 2 3" xfId="2559"/>
    <cellStyle name="Separador de milhares 10 2 3 3" xfId="1061"/>
    <cellStyle name="Separador de milhares 10 2 3 4" xfId="2339"/>
    <cellStyle name="Separador de milhares 10 2 4" xfId="434"/>
    <cellStyle name="Separador de milhares 10 2 4 2" xfId="1193"/>
    <cellStyle name="Separador de milhares 10 2 4 3" xfId="2476"/>
    <cellStyle name="Separador de milhares 10 2 5" xfId="996"/>
    <cellStyle name="Separador de milhares 10 2 6" xfId="2281"/>
    <cellStyle name="Separador de milhares 11" xfId="126"/>
    <cellStyle name="Separador de milhares 11 2" xfId="186"/>
    <cellStyle name="Separador de milhares 11 2 2" xfId="263"/>
    <cellStyle name="Separador de milhares 11 2 2 2" xfId="333"/>
    <cellStyle name="Separador de milhares 11 2 2 2 2" xfId="554"/>
    <cellStyle name="Separador de milhares 11 2 2 2 2 2" xfId="1305"/>
    <cellStyle name="Separador de milhares 11 2 2 2 2 3" xfId="2596"/>
    <cellStyle name="Separador de milhares 11 2 2 2 3" xfId="1095"/>
    <cellStyle name="Separador de milhares 11 2 2 2 4" xfId="2376"/>
    <cellStyle name="Separador de milhares 11 2 2 3" xfId="484"/>
    <cellStyle name="Separador de milhares 11 2 2 3 2" xfId="1240"/>
    <cellStyle name="Separador de milhares 11 2 2 3 3" xfId="2526"/>
    <cellStyle name="Separador de milhares 11 2 2 4" xfId="1030"/>
    <cellStyle name="Separador de milhares 11 2 2 5" xfId="2313"/>
    <cellStyle name="Separador de milhares 11 2 3" xfId="297"/>
    <cellStyle name="Separador de milhares 11 2 3 2" xfId="518"/>
    <cellStyle name="Separador de milhares 11 2 3 2 2" xfId="1272"/>
    <cellStyle name="Separador de milhares 11 2 3 2 3" xfId="2560"/>
    <cellStyle name="Separador de milhares 11 2 3 3" xfId="1062"/>
    <cellStyle name="Separador de milhares 11 2 3 4" xfId="2340"/>
    <cellStyle name="Separador de milhares 11 2 4" xfId="435"/>
    <cellStyle name="Separador de milhares 11 2 4 2" xfId="1194"/>
    <cellStyle name="Separador de milhares 11 2 4 3" xfId="2477"/>
    <cellStyle name="Separador de milhares 11 2 5" xfId="997"/>
    <cellStyle name="Separador de milhares 11 2 6" xfId="2282"/>
    <cellStyle name="Separador de milhares 12" xfId="3027"/>
    <cellStyle name="Separador de milhares 2" xfId="15"/>
    <cellStyle name="Separador de milhares 2 2" xfId="32"/>
    <cellStyle name="Separador de milhares 2 2 2" xfId="42"/>
    <cellStyle name="Separador de milhares 2 3" xfId="127"/>
    <cellStyle name="Separador de milhares 2 3 2" xfId="187"/>
    <cellStyle name="Separador de milhares 2 3 2 2" xfId="264"/>
    <cellStyle name="Separador de milhares 2 3 2 2 2" xfId="334"/>
    <cellStyle name="Separador de milhares 2 3 2 2 2 2" xfId="555"/>
    <cellStyle name="Separador de milhares 2 3 2 2 2 2 2" xfId="1306"/>
    <cellStyle name="Separador de milhares 2 3 2 2 2 2 3" xfId="2597"/>
    <cellStyle name="Separador de milhares 2 3 2 2 2 3" xfId="1096"/>
    <cellStyle name="Separador de milhares 2 3 2 2 2 4" xfId="2377"/>
    <cellStyle name="Separador de milhares 2 3 2 2 3" xfId="485"/>
    <cellStyle name="Separador de milhares 2 3 2 2 3 2" xfId="1241"/>
    <cellStyle name="Separador de milhares 2 3 2 2 3 3" xfId="2527"/>
    <cellStyle name="Separador de milhares 2 3 2 2 4" xfId="1031"/>
    <cellStyle name="Separador de milhares 2 3 2 2 5" xfId="2314"/>
    <cellStyle name="Separador de milhares 2 3 2 3" xfId="298"/>
    <cellStyle name="Separador de milhares 2 3 2 3 2" xfId="519"/>
    <cellStyle name="Separador de milhares 2 3 2 3 2 2" xfId="1273"/>
    <cellStyle name="Separador de milhares 2 3 2 3 2 3" xfId="2561"/>
    <cellStyle name="Separador de milhares 2 3 2 3 3" xfId="1063"/>
    <cellStyle name="Separador de milhares 2 3 2 3 4" xfId="2341"/>
    <cellStyle name="Separador de milhares 2 3 2 4" xfId="436"/>
    <cellStyle name="Separador de milhares 2 3 2 4 2" xfId="1195"/>
    <cellStyle name="Separador de milhares 2 3 2 4 3" xfId="2478"/>
    <cellStyle name="Separador de milhares 2 3 2 5" xfId="998"/>
    <cellStyle name="Separador de milhares 2 3 2 6" xfId="2283"/>
    <cellStyle name="Separador de milhares 2 4" xfId="128"/>
    <cellStyle name="Separador de milhares 2_DIGICOMP - Lista de Material - Cabeamento Estruturado" xfId="129"/>
    <cellStyle name="Separador de milhares 3" xfId="16"/>
    <cellStyle name="Separador de milhares 3 2" xfId="130"/>
    <cellStyle name="Separador de milhares 3 2 2" xfId="131"/>
    <cellStyle name="Separador de milhares 3 2 2 2" xfId="188"/>
    <cellStyle name="Separador de milhares 3 2 2 2 2" xfId="265"/>
    <cellStyle name="Separador de milhares 3 2 2 2 2 2" xfId="335"/>
    <cellStyle name="Separador de milhares 3 2 2 2 2 2 2" xfId="556"/>
    <cellStyle name="Separador de milhares 3 2 2 2 2 2 2 2" xfId="1307"/>
    <cellStyle name="Separador de milhares 3 2 2 2 2 2 2 3" xfId="2598"/>
    <cellStyle name="Separador de milhares 3 2 2 2 2 2 3" xfId="1097"/>
    <cellStyle name="Separador de milhares 3 2 2 2 2 2 4" xfId="2378"/>
    <cellStyle name="Separador de milhares 3 2 2 2 2 3" xfId="486"/>
    <cellStyle name="Separador de milhares 3 2 2 2 2 3 2" xfId="1242"/>
    <cellStyle name="Separador de milhares 3 2 2 2 2 3 3" xfId="2528"/>
    <cellStyle name="Separador de milhares 3 2 2 2 2 4" xfId="1032"/>
    <cellStyle name="Separador de milhares 3 2 2 2 2 5" xfId="2315"/>
    <cellStyle name="Separador de milhares 3 2 2 2 3" xfId="299"/>
    <cellStyle name="Separador de milhares 3 2 2 2 3 2" xfId="520"/>
    <cellStyle name="Separador de milhares 3 2 2 2 3 2 2" xfId="1274"/>
    <cellStyle name="Separador de milhares 3 2 2 2 3 2 3" xfId="2562"/>
    <cellStyle name="Separador de milhares 3 2 2 2 3 3" xfId="1064"/>
    <cellStyle name="Separador de milhares 3 2 2 2 3 4" xfId="2342"/>
    <cellStyle name="Separador de milhares 3 2 2 2 4" xfId="437"/>
    <cellStyle name="Separador de milhares 3 2 2 2 4 2" xfId="1196"/>
    <cellStyle name="Separador de milhares 3 2 2 2 4 3" xfId="2479"/>
    <cellStyle name="Separador de milhares 3 2 2 2 5" xfId="999"/>
    <cellStyle name="Separador de milhares 3 2 2 2 6" xfId="2284"/>
    <cellStyle name="Separador de milhares 3 3" xfId="175"/>
    <cellStyle name="Separador de milhares 3 3 2" xfId="253"/>
    <cellStyle name="Separador de milhares 3 3 2 2" xfId="323"/>
    <cellStyle name="Separador de milhares 3 3 2 2 2" xfId="544"/>
    <cellStyle name="Separador de milhares 3 3 2 2 2 2" xfId="1296"/>
    <cellStyle name="Separador de milhares 3 3 2 2 2 3" xfId="2586"/>
    <cellStyle name="Separador de milhares 3 3 2 2 3" xfId="1086"/>
    <cellStyle name="Separador de milhares 3 3 2 2 4" xfId="2366"/>
    <cellStyle name="Separador de milhares 3 3 2 3" xfId="474"/>
    <cellStyle name="Separador de milhares 3 3 2 3 2" xfId="1231"/>
    <cellStyle name="Separador de milhares 3 3 2 3 3" xfId="2516"/>
    <cellStyle name="Separador de milhares 3 3 2 4" xfId="1021"/>
    <cellStyle name="Separador de milhares 3 3 2 5" xfId="2303"/>
    <cellStyle name="Separador de milhares 3 3 3" xfId="287"/>
    <cellStyle name="Separador de milhares 3 3 3 2" xfId="508"/>
    <cellStyle name="Separador de milhares 3 3 3 2 2" xfId="1263"/>
    <cellStyle name="Separador de milhares 3 3 3 2 3" xfId="2550"/>
    <cellStyle name="Separador de milhares 3 3 3 3" xfId="1053"/>
    <cellStyle name="Separador de milhares 3 3 3 4" xfId="2330"/>
    <cellStyle name="Separador de milhares 3 3 4" xfId="425"/>
    <cellStyle name="Separador de milhares 3 3 4 2" xfId="1185"/>
    <cellStyle name="Separador de milhares 3 3 4 3" xfId="2467"/>
    <cellStyle name="Separador de milhares 3 3 5" xfId="988"/>
    <cellStyle name="Separador de milhares 3 3 6" xfId="2272"/>
    <cellStyle name="Separador de milhares 4" xfId="17"/>
    <cellStyle name="Separador de milhares 5" xfId="18"/>
    <cellStyle name="Separador de milhares 5 2" xfId="132"/>
    <cellStyle name="Separador de milhares 5 2 2" xfId="189"/>
    <cellStyle name="Separador de milhares 5 2 2 2" xfId="266"/>
    <cellStyle name="Separador de milhares 5 2 2 2 2" xfId="336"/>
    <cellStyle name="Separador de milhares 5 2 2 2 2 2" xfId="557"/>
    <cellStyle name="Separador de milhares 5 2 2 2 2 2 2" xfId="1308"/>
    <cellStyle name="Separador de milhares 5 2 2 2 2 2 3" xfId="2599"/>
    <cellStyle name="Separador de milhares 5 2 2 2 2 3" xfId="1098"/>
    <cellStyle name="Separador de milhares 5 2 2 2 2 4" xfId="2379"/>
    <cellStyle name="Separador de milhares 5 2 2 2 3" xfId="487"/>
    <cellStyle name="Separador de milhares 5 2 2 2 3 2" xfId="1243"/>
    <cellStyle name="Separador de milhares 5 2 2 2 3 3" xfId="2529"/>
    <cellStyle name="Separador de milhares 5 2 2 2 4" xfId="1033"/>
    <cellStyle name="Separador de milhares 5 2 2 2 5" xfId="2316"/>
    <cellStyle name="Separador de milhares 5 2 2 3" xfId="300"/>
    <cellStyle name="Separador de milhares 5 2 2 3 2" xfId="521"/>
    <cellStyle name="Separador de milhares 5 2 2 3 2 2" xfId="1275"/>
    <cellStyle name="Separador de milhares 5 2 2 3 2 3" xfId="2563"/>
    <cellStyle name="Separador de milhares 5 2 2 3 3" xfId="1065"/>
    <cellStyle name="Separador de milhares 5 2 2 3 4" xfId="2343"/>
    <cellStyle name="Separador de milhares 5 2 2 4" xfId="438"/>
    <cellStyle name="Separador de milhares 5 2 2 4 2" xfId="1197"/>
    <cellStyle name="Separador de milhares 5 2 2 4 3" xfId="2480"/>
    <cellStyle name="Separador de milhares 5 2 2 5" xfId="1000"/>
    <cellStyle name="Separador de milhares 5 2 2 6" xfId="2285"/>
    <cellStyle name="Separador de milhares 6" xfId="19"/>
    <cellStyle name="Separador de milhares 6 2" xfId="133"/>
    <cellStyle name="Separador de milhares 6 2 2" xfId="190"/>
    <cellStyle name="Separador de milhares 6 2 2 2" xfId="267"/>
    <cellStyle name="Separador de milhares 6 2 2 2 2" xfId="337"/>
    <cellStyle name="Separador de milhares 6 2 2 2 2 2" xfId="558"/>
    <cellStyle name="Separador de milhares 6 2 2 2 2 2 2" xfId="1309"/>
    <cellStyle name="Separador de milhares 6 2 2 2 2 2 3" xfId="2600"/>
    <cellStyle name="Separador de milhares 6 2 2 2 2 3" xfId="1099"/>
    <cellStyle name="Separador de milhares 6 2 2 2 2 4" xfId="2380"/>
    <cellStyle name="Separador de milhares 6 2 2 2 3" xfId="488"/>
    <cellStyle name="Separador de milhares 6 2 2 2 3 2" xfId="1244"/>
    <cellStyle name="Separador de milhares 6 2 2 2 3 3" xfId="2530"/>
    <cellStyle name="Separador de milhares 6 2 2 2 4" xfId="1034"/>
    <cellStyle name="Separador de milhares 6 2 2 2 5" xfId="2317"/>
    <cellStyle name="Separador de milhares 6 2 2 3" xfId="301"/>
    <cellStyle name="Separador de milhares 6 2 2 3 2" xfId="522"/>
    <cellStyle name="Separador de milhares 6 2 2 3 2 2" xfId="1276"/>
    <cellStyle name="Separador de milhares 6 2 2 3 2 3" xfId="2564"/>
    <cellStyle name="Separador de milhares 6 2 2 3 3" xfId="1066"/>
    <cellStyle name="Separador de milhares 6 2 2 3 4" xfId="2344"/>
    <cellStyle name="Separador de milhares 6 2 2 4" xfId="439"/>
    <cellStyle name="Separador de milhares 6 2 2 4 2" xfId="1198"/>
    <cellStyle name="Separador de milhares 6 2 2 4 3" xfId="2481"/>
    <cellStyle name="Separador de milhares 6 2 2 5" xfId="1001"/>
    <cellStyle name="Separador de milhares 6 2 2 6" xfId="2286"/>
    <cellStyle name="Separador de milhares 7" xfId="20"/>
    <cellStyle name="Separador de milhares 8" xfId="21"/>
    <cellStyle name="Separador de milhares 8 2" xfId="24"/>
    <cellStyle name="Separador de milhares 8 2 2" xfId="179"/>
    <cellStyle name="Separador de milhares 8 2 2 2" xfId="256"/>
    <cellStyle name="Separador de milhares 8 2 2 2 2" xfId="326"/>
    <cellStyle name="Separador de milhares 8 2 2 2 2 2" xfId="547"/>
    <cellStyle name="Separador de milhares 8 2 2 2 2 2 2" xfId="1299"/>
    <cellStyle name="Separador de milhares 8 2 2 2 2 2 3" xfId="2589"/>
    <cellStyle name="Separador de milhares 8 2 2 2 2 3" xfId="1089"/>
    <cellStyle name="Separador de milhares 8 2 2 2 2 4" xfId="2369"/>
    <cellStyle name="Separador de milhares 8 2 2 2 3" xfId="477"/>
    <cellStyle name="Separador de milhares 8 2 2 2 3 2" xfId="1234"/>
    <cellStyle name="Separador de milhares 8 2 2 2 3 3" xfId="2519"/>
    <cellStyle name="Separador de milhares 8 2 2 2 4" xfId="1024"/>
    <cellStyle name="Separador de milhares 8 2 2 2 5" xfId="2306"/>
    <cellStyle name="Separador de milhares 8 2 2 3" xfId="290"/>
    <cellStyle name="Separador de milhares 8 2 2 3 2" xfId="511"/>
    <cellStyle name="Separador de milhares 8 2 2 3 2 2" xfId="1266"/>
    <cellStyle name="Separador de milhares 8 2 2 3 2 3" xfId="2553"/>
    <cellStyle name="Separador de milhares 8 2 2 3 3" xfId="1056"/>
    <cellStyle name="Separador de milhares 8 2 2 3 4" xfId="2333"/>
    <cellStyle name="Separador de milhares 8 2 2 4" xfId="428"/>
    <cellStyle name="Separador de milhares 8 2 2 4 2" xfId="1188"/>
    <cellStyle name="Separador de milhares 8 2 2 4 3" xfId="2470"/>
    <cellStyle name="Separador de milhares 8 2 2 5" xfId="991"/>
    <cellStyle name="Separador de milhares 8 2 2 6" xfId="2275"/>
    <cellStyle name="Separador de milhares 8 3" xfId="39"/>
    <cellStyle name="Separador de milhares 8 4" xfId="176"/>
    <cellStyle name="Separador de milhares 8 4 2" xfId="254"/>
    <cellStyle name="Separador de milhares 8 4 2 2" xfId="324"/>
    <cellStyle name="Separador de milhares 8 4 2 2 2" xfId="545"/>
    <cellStyle name="Separador de milhares 8 4 2 2 2 2" xfId="1297"/>
    <cellStyle name="Separador de milhares 8 4 2 2 2 3" xfId="2587"/>
    <cellStyle name="Separador de milhares 8 4 2 2 3" xfId="1087"/>
    <cellStyle name="Separador de milhares 8 4 2 2 4" xfId="2367"/>
    <cellStyle name="Separador de milhares 8 4 2 3" xfId="475"/>
    <cellStyle name="Separador de milhares 8 4 2 3 2" xfId="1232"/>
    <cellStyle name="Separador de milhares 8 4 2 3 3" xfId="2517"/>
    <cellStyle name="Separador de milhares 8 4 2 4" xfId="1022"/>
    <cellStyle name="Separador de milhares 8 4 2 5" xfId="2304"/>
    <cellStyle name="Separador de milhares 8 4 3" xfId="288"/>
    <cellStyle name="Separador de milhares 8 4 3 2" xfId="509"/>
    <cellStyle name="Separador de milhares 8 4 3 2 2" xfId="1264"/>
    <cellStyle name="Separador de milhares 8 4 3 2 3" xfId="2551"/>
    <cellStyle name="Separador de milhares 8 4 3 3" xfId="1054"/>
    <cellStyle name="Separador de milhares 8 4 3 4" xfId="2331"/>
    <cellStyle name="Separador de milhares 8 4 4" xfId="426"/>
    <cellStyle name="Separador de milhares 8 4 4 2" xfId="1186"/>
    <cellStyle name="Separador de milhares 8 4 4 3" xfId="2468"/>
    <cellStyle name="Separador de milhares 8 4 5" xfId="989"/>
    <cellStyle name="Separador de milhares 8 4 6" xfId="2273"/>
    <cellStyle name="Separador de milhares 9" xfId="134"/>
    <cellStyle name="Separador de milhares 9 2" xfId="191"/>
    <cellStyle name="Separador de milhares 9 2 2" xfId="268"/>
    <cellStyle name="Separador de milhares 9 2 2 2" xfId="338"/>
    <cellStyle name="Separador de milhares 9 2 2 2 2" xfId="559"/>
    <cellStyle name="Separador de milhares 9 2 2 2 2 2" xfId="1310"/>
    <cellStyle name="Separador de milhares 9 2 2 2 2 3" xfId="2601"/>
    <cellStyle name="Separador de milhares 9 2 2 2 3" xfId="1100"/>
    <cellStyle name="Separador de milhares 9 2 2 2 4" xfId="2381"/>
    <cellStyle name="Separador de milhares 9 2 2 3" xfId="489"/>
    <cellStyle name="Separador de milhares 9 2 2 3 2" xfId="1245"/>
    <cellStyle name="Separador de milhares 9 2 2 3 3" xfId="2531"/>
    <cellStyle name="Separador de milhares 9 2 2 4" xfId="1035"/>
    <cellStyle name="Separador de milhares 9 2 2 5" xfId="2318"/>
    <cellStyle name="Separador de milhares 9 2 3" xfId="302"/>
    <cellStyle name="Separador de milhares 9 2 3 2" xfId="523"/>
    <cellStyle name="Separador de milhares 9 2 3 2 2" xfId="1277"/>
    <cellStyle name="Separador de milhares 9 2 3 2 3" xfId="2565"/>
    <cellStyle name="Separador de milhares 9 2 3 3" xfId="1067"/>
    <cellStyle name="Separador de milhares 9 2 3 4" xfId="2345"/>
    <cellStyle name="Separador de milhares 9 2 4" xfId="440"/>
    <cellStyle name="Separador de milhares 9 2 4 2" xfId="1199"/>
    <cellStyle name="Separador de milhares 9 2 4 3" xfId="2482"/>
    <cellStyle name="Separador de milhares 9 2 5" xfId="1002"/>
    <cellStyle name="Separador de milhares 9 2 6" xfId="2287"/>
    <cellStyle name="SUBTIT" xfId="135"/>
    <cellStyle name="SUBTIT 10" xfId="284"/>
    <cellStyle name="SUBTIT 10 10" xfId="760"/>
    <cellStyle name="SUBTIT 10 10 2" xfId="1511"/>
    <cellStyle name="SUBTIT 10 10 3" xfId="2043"/>
    <cellStyle name="SUBTIT 10 10 4" xfId="2802"/>
    <cellStyle name="SUBTIT 10 11" xfId="362"/>
    <cellStyle name="SUBTIT 10 11 2" xfId="1123"/>
    <cellStyle name="SUBTIT 10 11 3" xfId="1757"/>
    <cellStyle name="SUBTIT 10 11 4" xfId="2404"/>
    <cellStyle name="SUBTIT 10 12" xfId="804"/>
    <cellStyle name="SUBTIT 10 12 2" xfId="1555"/>
    <cellStyle name="SUBTIT 10 12 3" xfId="2087"/>
    <cellStyle name="SUBTIT 10 12 4" xfId="2846"/>
    <cellStyle name="SUBTIT 10 13" xfId="372"/>
    <cellStyle name="SUBTIT 10 13 2" xfId="1132"/>
    <cellStyle name="SUBTIT 10 13 3" xfId="1765"/>
    <cellStyle name="SUBTIT 10 13 4" xfId="2414"/>
    <cellStyle name="SUBTIT 10 14" xfId="844"/>
    <cellStyle name="SUBTIT 10 14 2" xfId="1595"/>
    <cellStyle name="SUBTIT 10 14 3" xfId="2127"/>
    <cellStyle name="SUBTIT 10 14 4" xfId="2886"/>
    <cellStyle name="SUBTIT 10 15" xfId="702"/>
    <cellStyle name="SUBTIT 10 15 2" xfId="1453"/>
    <cellStyle name="SUBTIT 10 15 3" xfId="1985"/>
    <cellStyle name="SUBTIT 10 15 4" xfId="2744"/>
    <cellStyle name="SUBTIT 10 16" xfId="603"/>
    <cellStyle name="SUBTIT 10 16 2" xfId="1354"/>
    <cellStyle name="SUBTIT 10 16 3" xfId="1886"/>
    <cellStyle name="SUBTIT 10 16 4" xfId="2645"/>
    <cellStyle name="SUBTIT 10 17" xfId="896"/>
    <cellStyle name="SUBTIT 10 17 2" xfId="1647"/>
    <cellStyle name="SUBTIT 10 17 3" xfId="2179"/>
    <cellStyle name="SUBTIT 10 17 4" xfId="2938"/>
    <cellStyle name="SUBTIT 10 18" xfId="915"/>
    <cellStyle name="SUBTIT 10 18 2" xfId="1666"/>
    <cellStyle name="SUBTIT 10 18 3" xfId="2198"/>
    <cellStyle name="SUBTIT 10 18 4" xfId="2957"/>
    <cellStyle name="SUBTIT 10 19" xfId="855"/>
    <cellStyle name="SUBTIT 10 19 2" xfId="1606"/>
    <cellStyle name="SUBTIT 10 19 3" xfId="2138"/>
    <cellStyle name="SUBTIT 10 19 4" xfId="2897"/>
    <cellStyle name="SUBTIT 10 2" xfId="505"/>
    <cellStyle name="SUBTIT 10 2 2" xfId="1260"/>
    <cellStyle name="SUBTIT 10 2 3" xfId="1842"/>
    <cellStyle name="SUBTIT 10 2 4" xfId="2547"/>
    <cellStyle name="SUBTIT 10 20" xfId="819"/>
    <cellStyle name="SUBTIT 10 20 2" xfId="1570"/>
    <cellStyle name="SUBTIT 10 20 3" xfId="2102"/>
    <cellStyle name="SUBTIT 10 20 4" xfId="2861"/>
    <cellStyle name="SUBTIT 10 21" xfId="577"/>
    <cellStyle name="SUBTIT 10 21 2" xfId="1328"/>
    <cellStyle name="SUBTIT 10 21 3" xfId="1860"/>
    <cellStyle name="SUBTIT 10 21 4" xfId="2619"/>
    <cellStyle name="SUBTIT 10 22" xfId="833"/>
    <cellStyle name="SUBTIT 10 22 2" xfId="1584"/>
    <cellStyle name="SUBTIT 10 22 3" xfId="2116"/>
    <cellStyle name="SUBTIT 10 22 4" xfId="2875"/>
    <cellStyle name="SUBTIT 10 23" xfId="602"/>
    <cellStyle name="SUBTIT 10 23 2" xfId="1353"/>
    <cellStyle name="SUBTIT 10 23 3" xfId="1885"/>
    <cellStyle name="SUBTIT 10 23 4" xfId="2644"/>
    <cellStyle name="SUBTIT 10 24" xfId="1050"/>
    <cellStyle name="SUBTIT 10 25" xfId="1734"/>
    <cellStyle name="SUBTIT 10 26" xfId="2327"/>
    <cellStyle name="SUBTIT 10 3" xfId="600"/>
    <cellStyle name="SUBTIT 10 3 2" xfId="1351"/>
    <cellStyle name="SUBTIT 10 3 3" xfId="1883"/>
    <cellStyle name="SUBTIT 10 3 4" xfId="2642"/>
    <cellStyle name="SUBTIT 10 4" xfId="632"/>
    <cellStyle name="SUBTIT 10 4 2" xfId="1383"/>
    <cellStyle name="SUBTIT 10 4 3" xfId="1915"/>
    <cellStyle name="SUBTIT 10 4 4" xfId="2674"/>
    <cellStyle name="SUBTIT 10 5" xfId="460"/>
    <cellStyle name="SUBTIT 10 5 2" xfId="1218"/>
    <cellStyle name="SUBTIT 10 5 3" xfId="1825"/>
    <cellStyle name="SUBTIT 10 5 4" xfId="2502"/>
    <cellStyle name="SUBTIT 10 6" xfId="596"/>
    <cellStyle name="SUBTIT 10 6 2" xfId="1347"/>
    <cellStyle name="SUBTIT 10 6 3" xfId="1879"/>
    <cellStyle name="SUBTIT 10 6 4" xfId="2638"/>
    <cellStyle name="SUBTIT 10 7" xfId="679"/>
    <cellStyle name="SUBTIT 10 7 2" xfId="1430"/>
    <cellStyle name="SUBTIT 10 7 3" xfId="1962"/>
    <cellStyle name="SUBTIT 10 7 4" xfId="2721"/>
    <cellStyle name="SUBTIT 10 8" xfId="576"/>
    <cellStyle name="SUBTIT 10 8 2" xfId="1327"/>
    <cellStyle name="SUBTIT 10 8 3" xfId="1859"/>
    <cellStyle name="SUBTIT 10 8 4" xfId="2618"/>
    <cellStyle name="SUBTIT 10 9" xfId="400"/>
    <cellStyle name="SUBTIT 10 9 2" xfId="1160"/>
    <cellStyle name="SUBTIT 10 9 3" xfId="1793"/>
    <cellStyle name="SUBTIT 10 9 4" xfId="2442"/>
    <cellStyle name="SUBTIT 11" xfId="412"/>
    <cellStyle name="SUBTIT 11 2" xfId="1172"/>
    <cellStyle name="SUBTIT 11 3" xfId="1805"/>
    <cellStyle name="SUBTIT 11 4" xfId="2454"/>
    <cellStyle name="SUBTIT 12" xfId="384"/>
    <cellStyle name="SUBTIT 12 2" xfId="1144"/>
    <cellStyle name="SUBTIT 12 3" xfId="1777"/>
    <cellStyle name="SUBTIT 12 4" xfId="2426"/>
    <cellStyle name="SUBTIT 13" xfId="395"/>
    <cellStyle name="SUBTIT 13 2" xfId="1155"/>
    <cellStyle name="SUBTIT 13 3" xfId="1788"/>
    <cellStyle name="SUBTIT 13 4" xfId="2437"/>
    <cellStyle name="SUBTIT 14" xfId="359"/>
    <cellStyle name="SUBTIT 14 2" xfId="1120"/>
    <cellStyle name="SUBTIT 14 3" xfId="1754"/>
    <cellStyle name="SUBTIT 14 4" xfId="2401"/>
    <cellStyle name="SUBTIT 15" xfId="635"/>
    <cellStyle name="SUBTIT 15 2" xfId="1386"/>
    <cellStyle name="SUBTIT 15 3" xfId="1918"/>
    <cellStyle name="SUBTIT 15 4" xfId="2677"/>
    <cellStyle name="SUBTIT 16" xfId="575"/>
    <cellStyle name="SUBTIT 16 2" xfId="1326"/>
    <cellStyle name="SUBTIT 16 3" xfId="1858"/>
    <cellStyle name="SUBTIT 16 4" xfId="2617"/>
    <cellStyle name="SUBTIT 17" xfId="409"/>
    <cellStyle name="SUBTIT 17 2" xfId="1169"/>
    <cellStyle name="SUBTIT 17 3" xfId="1802"/>
    <cellStyle name="SUBTIT 17 4" xfId="2451"/>
    <cellStyle name="SUBTIT 18" xfId="361"/>
    <cellStyle name="SUBTIT 18 2" xfId="1122"/>
    <cellStyle name="SUBTIT 18 3" xfId="1756"/>
    <cellStyle name="SUBTIT 18 4" xfId="2403"/>
    <cellStyle name="SUBTIT 19" xfId="665"/>
    <cellStyle name="SUBTIT 19 2" xfId="1416"/>
    <cellStyle name="SUBTIT 19 3" xfId="1948"/>
    <cellStyle name="SUBTIT 19 4" xfId="2707"/>
    <cellStyle name="SUBTIT 2" xfId="192"/>
    <cellStyle name="SUBTIT 2 10" xfId="657"/>
    <cellStyle name="SUBTIT 2 10 2" xfId="1408"/>
    <cellStyle name="SUBTIT 2 10 3" xfId="1940"/>
    <cellStyle name="SUBTIT 2 10 4" xfId="2699"/>
    <cellStyle name="SUBTIT 2 11" xfId="726"/>
    <cellStyle name="SUBTIT 2 11 2" xfId="1477"/>
    <cellStyle name="SUBTIT 2 11 3" xfId="2009"/>
    <cellStyle name="SUBTIT 2 11 4" xfId="2768"/>
    <cellStyle name="SUBTIT 2 12" xfId="464"/>
    <cellStyle name="SUBTIT 2 12 2" xfId="1222"/>
    <cellStyle name="SUBTIT 2 12 3" xfId="1829"/>
    <cellStyle name="SUBTIT 2 12 4" xfId="2506"/>
    <cellStyle name="SUBTIT 2 13" xfId="713"/>
    <cellStyle name="SUBTIT 2 13 2" xfId="1464"/>
    <cellStyle name="SUBTIT 2 13 3" xfId="1996"/>
    <cellStyle name="SUBTIT 2 13 4" xfId="2755"/>
    <cellStyle name="SUBTIT 2 14" xfId="817"/>
    <cellStyle name="SUBTIT 2 14 2" xfId="1568"/>
    <cellStyle name="SUBTIT 2 14 3" xfId="2100"/>
    <cellStyle name="SUBTIT 2 14 4" xfId="2859"/>
    <cellStyle name="SUBTIT 2 15" xfId="358"/>
    <cellStyle name="SUBTIT 2 15 2" xfId="1119"/>
    <cellStyle name="SUBTIT 2 15 3" xfId="1753"/>
    <cellStyle name="SUBTIT 2 15 4" xfId="2400"/>
    <cellStyle name="SUBTIT 2 16" xfId="636"/>
    <cellStyle name="SUBTIT 2 16 2" xfId="1387"/>
    <cellStyle name="SUBTIT 2 16 3" xfId="1919"/>
    <cellStyle name="SUBTIT 2 16 4" xfId="2678"/>
    <cellStyle name="SUBTIT 2 17" xfId="762"/>
    <cellStyle name="SUBTIT 2 17 2" xfId="1513"/>
    <cellStyle name="SUBTIT 2 17 3" xfId="2045"/>
    <cellStyle name="SUBTIT 2 17 4" xfId="2804"/>
    <cellStyle name="SUBTIT 2 18" xfId="725"/>
    <cellStyle name="SUBTIT 2 18 2" xfId="1476"/>
    <cellStyle name="SUBTIT 2 18 3" xfId="2008"/>
    <cellStyle name="SUBTIT 2 18 4" xfId="2767"/>
    <cellStyle name="SUBTIT 2 19" xfId="858"/>
    <cellStyle name="SUBTIT 2 19 2" xfId="1609"/>
    <cellStyle name="SUBTIT 2 19 3" xfId="2141"/>
    <cellStyle name="SUBTIT 2 19 4" xfId="2900"/>
    <cellStyle name="SUBTIT 2 2" xfId="269"/>
    <cellStyle name="SUBTIT 2 2 10" xfId="751"/>
    <cellStyle name="SUBTIT 2 2 10 2" xfId="1502"/>
    <cellStyle name="SUBTIT 2 2 10 3" xfId="2034"/>
    <cellStyle name="SUBTIT 2 2 10 4" xfId="2793"/>
    <cellStyle name="SUBTIT 2 2 11" xfId="385"/>
    <cellStyle name="SUBTIT 2 2 11 2" xfId="1145"/>
    <cellStyle name="SUBTIT 2 2 11 3" xfId="1778"/>
    <cellStyle name="SUBTIT 2 2 11 4" xfId="2427"/>
    <cellStyle name="SUBTIT 2 2 12" xfId="664"/>
    <cellStyle name="SUBTIT 2 2 12 2" xfId="1415"/>
    <cellStyle name="SUBTIT 2 2 12 3" xfId="1947"/>
    <cellStyle name="SUBTIT 2 2 12 4" xfId="2706"/>
    <cellStyle name="SUBTIT 2 2 13" xfId="740"/>
    <cellStyle name="SUBTIT 2 2 13 2" xfId="1491"/>
    <cellStyle name="SUBTIT 2 2 13 3" xfId="2023"/>
    <cellStyle name="SUBTIT 2 2 13 4" xfId="2782"/>
    <cellStyle name="SUBTIT 2 2 14" xfId="749"/>
    <cellStyle name="SUBTIT 2 2 14 2" xfId="1500"/>
    <cellStyle name="SUBTIT 2 2 14 3" xfId="2032"/>
    <cellStyle name="SUBTIT 2 2 14 4" xfId="2791"/>
    <cellStyle name="SUBTIT 2 2 15" xfId="889"/>
    <cellStyle name="SUBTIT 2 2 15 2" xfId="1640"/>
    <cellStyle name="SUBTIT 2 2 15 3" xfId="2172"/>
    <cellStyle name="SUBTIT 2 2 15 4" xfId="2931"/>
    <cellStyle name="SUBTIT 2 2 16" xfId="363"/>
    <cellStyle name="SUBTIT 2 2 16 2" xfId="1124"/>
    <cellStyle name="SUBTIT 2 2 16 3" xfId="1758"/>
    <cellStyle name="SUBTIT 2 2 16 4" xfId="2405"/>
    <cellStyle name="SUBTIT 2 2 17" xfId="917"/>
    <cellStyle name="SUBTIT 2 2 17 2" xfId="1668"/>
    <cellStyle name="SUBTIT 2 2 17 3" xfId="2200"/>
    <cellStyle name="SUBTIT 2 2 17 4" xfId="2959"/>
    <cellStyle name="SUBTIT 2 2 18" xfId="1036"/>
    <cellStyle name="SUBTIT 2 2 2" xfId="339"/>
    <cellStyle name="SUBTIT 2 2 2 10" xfId="782"/>
    <cellStyle name="SUBTIT 2 2 2 10 2" xfId="1533"/>
    <cellStyle name="SUBTIT 2 2 2 10 3" xfId="2065"/>
    <cellStyle name="SUBTIT 2 2 2 10 4" xfId="2824"/>
    <cellStyle name="SUBTIT 2 2 2 11" xfId="796"/>
    <cellStyle name="SUBTIT 2 2 2 11 2" xfId="1547"/>
    <cellStyle name="SUBTIT 2 2 2 11 3" xfId="2079"/>
    <cellStyle name="SUBTIT 2 2 2 11 4" xfId="2838"/>
    <cellStyle name="SUBTIT 2 2 2 12" xfId="823"/>
    <cellStyle name="SUBTIT 2 2 2 12 2" xfId="1574"/>
    <cellStyle name="SUBTIT 2 2 2 12 3" xfId="2106"/>
    <cellStyle name="SUBTIT 2 2 2 12 4" xfId="2865"/>
    <cellStyle name="SUBTIT 2 2 2 13" xfId="832"/>
    <cellStyle name="SUBTIT 2 2 2 13 2" xfId="1583"/>
    <cellStyle name="SUBTIT 2 2 2 13 3" xfId="2115"/>
    <cellStyle name="SUBTIT 2 2 2 13 4" xfId="2874"/>
    <cellStyle name="SUBTIT 2 2 2 14" xfId="857"/>
    <cellStyle name="SUBTIT 2 2 2 14 2" xfId="1608"/>
    <cellStyle name="SUBTIT 2 2 2 14 3" xfId="2140"/>
    <cellStyle name="SUBTIT 2 2 2 14 4" xfId="2899"/>
    <cellStyle name="SUBTIT 2 2 2 15" xfId="869"/>
    <cellStyle name="SUBTIT 2 2 2 15 2" xfId="1620"/>
    <cellStyle name="SUBTIT 2 2 2 15 3" xfId="2152"/>
    <cellStyle name="SUBTIT 2 2 2 15 4" xfId="2911"/>
    <cellStyle name="SUBTIT 2 2 2 16" xfId="877"/>
    <cellStyle name="SUBTIT 2 2 2 16 2" xfId="1628"/>
    <cellStyle name="SUBTIT 2 2 2 16 3" xfId="2160"/>
    <cellStyle name="SUBTIT 2 2 2 16 4" xfId="2919"/>
    <cellStyle name="SUBTIT 2 2 2 17" xfId="906"/>
    <cellStyle name="SUBTIT 2 2 2 17 2" xfId="1657"/>
    <cellStyle name="SUBTIT 2 2 2 17 3" xfId="2189"/>
    <cellStyle name="SUBTIT 2 2 2 17 4" xfId="2948"/>
    <cellStyle name="SUBTIT 2 2 2 18" xfId="929"/>
    <cellStyle name="SUBTIT 2 2 2 18 2" xfId="1680"/>
    <cellStyle name="SUBTIT 2 2 2 18 3" xfId="2212"/>
    <cellStyle name="SUBTIT 2 2 2 18 4" xfId="2971"/>
    <cellStyle name="SUBTIT 2 2 2 19" xfId="940"/>
    <cellStyle name="SUBTIT 2 2 2 19 2" xfId="1691"/>
    <cellStyle name="SUBTIT 2 2 2 19 3" xfId="2223"/>
    <cellStyle name="SUBTIT 2 2 2 19 4" xfId="2982"/>
    <cellStyle name="SUBTIT 2 2 2 2" xfId="560"/>
    <cellStyle name="SUBTIT 2 2 2 2 2" xfId="1311"/>
    <cellStyle name="SUBTIT 2 2 2 2 3" xfId="1849"/>
    <cellStyle name="SUBTIT 2 2 2 2 4" xfId="2602"/>
    <cellStyle name="SUBTIT 2 2 2 20" xfId="949"/>
    <cellStyle name="SUBTIT 2 2 2 20 2" xfId="1700"/>
    <cellStyle name="SUBTIT 2 2 2 20 3" xfId="2232"/>
    <cellStyle name="SUBTIT 2 2 2 20 4" xfId="2991"/>
    <cellStyle name="SUBTIT 2 2 2 21" xfId="956"/>
    <cellStyle name="SUBTIT 2 2 2 21 2" xfId="1707"/>
    <cellStyle name="SUBTIT 2 2 2 21 3" xfId="2239"/>
    <cellStyle name="SUBTIT 2 2 2 21 4" xfId="2998"/>
    <cellStyle name="SUBTIT 2 2 2 22" xfId="969"/>
    <cellStyle name="SUBTIT 2 2 2 22 2" xfId="1720"/>
    <cellStyle name="SUBTIT 2 2 2 22 3" xfId="2252"/>
    <cellStyle name="SUBTIT 2 2 2 22 4" xfId="3011"/>
    <cellStyle name="SUBTIT 2 2 2 23" xfId="976"/>
    <cellStyle name="SUBTIT 2 2 2 23 2" xfId="1727"/>
    <cellStyle name="SUBTIT 2 2 2 23 3" xfId="2259"/>
    <cellStyle name="SUBTIT 2 2 2 23 4" xfId="3018"/>
    <cellStyle name="SUBTIT 2 2 2 24" xfId="1101"/>
    <cellStyle name="SUBTIT 2 2 2 25" xfId="1741"/>
    <cellStyle name="SUBTIT 2 2 2 26" xfId="2382"/>
    <cellStyle name="SUBTIT 2 2 2 3" xfId="616"/>
    <cellStyle name="SUBTIT 2 2 2 3 2" xfId="1367"/>
    <cellStyle name="SUBTIT 2 2 2 3 3" xfId="1899"/>
    <cellStyle name="SUBTIT 2 2 2 3 4" xfId="2658"/>
    <cellStyle name="SUBTIT 2 2 2 4" xfId="656"/>
    <cellStyle name="SUBTIT 2 2 2 4 2" xfId="1407"/>
    <cellStyle name="SUBTIT 2 2 2 4 3" xfId="1939"/>
    <cellStyle name="SUBTIT 2 2 2 4 4" xfId="2698"/>
    <cellStyle name="SUBTIT 2 2 2 5" xfId="668"/>
    <cellStyle name="SUBTIT 2 2 2 5 2" xfId="1419"/>
    <cellStyle name="SUBTIT 2 2 2 5 3" xfId="1951"/>
    <cellStyle name="SUBTIT 2 2 2 5 4" xfId="2710"/>
    <cellStyle name="SUBTIT 2 2 2 6" xfId="357"/>
    <cellStyle name="SUBTIT 2 2 2 6 2" xfId="1118"/>
    <cellStyle name="SUBTIT 2 2 2 6 3" xfId="1752"/>
    <cellStyle name="SUBTIT 2 2 2 6 4" xfId="2399"/>
    <cellStyle name="SUBTIT 2 2 2 7" xfId="693"/>
    <cellStyle name="SUBTIT 2 2 2 7 2" xfId="1444"/>
    <cellStyle name="SUBTIT 2 2 2 7 3" xfId="1976"/>
    <cellStyle name="SUBTIT 2 2 2 7 4" xfId="2735"/>
    <cellStyle name="SUBTIT 2 2 2 8" xfId="704"/>
    <cellStyle name="SUBTIT 2 2 2 8 2" xfId="1455"/>
    <cellStyle name="SUBTIT 2 2 2 8 3" xfId="1987"/>
    <cellStyle name="SUBTIT 2 2 2 8 4" xfId="2746"/>
    <cellStyle name="SUBTIT 2 2 2 9" xfId="714"/>
    <cellStyle name="SUBTIT 2 2 2 9 2" xfId="1465"/>
    <cellStyle name="SUBTIT 2 2 2 9 3" xfId="1997"/>
    <cellStyle name="SUBTIT 2 2 2 9 4" xfId="2756"/>
    <cellStyle name="SUBTIT 2 2 3" xfId="490"/>
    <cellStyle name="SUBTIT 2 2 3 2" xfId="1246"/>
    <cellStyle name="SUBTIT 2 2 3 3" xfId="1835"/>
    <cellStyle name="SUBTIT 2 2 3 4" xfId="2532"/>
    <cellStyle name="SUBTIT 2 2 4" xfId="624"/>
    <cellStyle name="SUBTIT 2 2 4 2" xfId="1375"/>
    <cellStyle name="SUBTIT 2 2 4 3" xfId="1907"/>
    <cellStyle name="SUBTIT 2 2 4 4" xfId="2666"/>
    <cellStyle name="SUBTIT 2 2 5" xfId="379"/>
    <cellStyle name="SUBTIT 2 2 5 2" xfId="1139"/>
    <cellStyle name="SUBTIT 2 2 5 3" xfId="1772"/>
    <cellStyle name="SUBTIT 2 2 5 4" xfId="2421"/>
    <cellStyle name="SUBTIT 2 2 6" xfId="389"/>
    <cellStyle name="SUBTIT 2 2 6 2" xfId="1149"/>
    <cellStyle name="SUBTIT 2 2 6 3" xfId="1782"/>
    <cellStyle name="SUBTIT 2 2 6 4" xfId="2431"/>
    <cellStyle name="SUBTIT 2 2 7" xfId="680"/>
    <cellStyle name="SUBTIT 2 2 7 2" xfId="1431"/>
    <cellStyle name="SUBTIT 2 2 7 3" xfId="1963"/>
    <cellStyle name="SUBTIT 2 2 7 4" xfId="2722"/>
    <cellStyle name="SUBTIT 2 2 8" xfId="356"/>
    <cellStyle name="SUBTIT 2 2 8 2" xfId="1117"/>
    <cellStyle name="SUBTIT 2 2 8 3" xfId="1751"/>
    <cellStyle name="SUBTIT 2 2 8 4" xfId="2398"/>
    <cellStyle name="SUBTIT 2 2 9" xfId="601"/>
    <cellStyle name="SUBTIT 2 2 9 2" xfId="1352"/>
    <cellStyle name="SUBTIT 2 2 9 3" xfId="1884"/>
    <cellStyle name="SUBTIT 2 2 9 4" xfId="2643"/>
    <cellStyle name="SUBTIT 2 20" xfId="1003"/>
    <cellStyle name="SUBTIT 2 21" xfId="983"/>
    <cellStyle name="SUBTIT 2 22" xfId="2288"/>
    <cellStyle name="SUBTIT 2 3" xfId="303"/>
    <cellStyle name="SUBTIT 2 3 10" xfId="766"/>
    <cellStyle name="SUBTIT 2 3 10 2" xfId="1517"/>
    <cellStyle name="SUBTIT 2 3 10 3" xfId="2049"/>
    <cellStyle name="SUBTIT 2 3 10 4" xfId="2808"/>
    <cellStyle name="SUBTIT 2 3 11" xfId="736"/>
    <cellStyle name="SUBTIT 2 3 11 2" xfId="1487"/>
    <cellStyle name="SUBTIT 2 3 11 3" xfId="2019"/>
    <cellStyle name="SUBTIT 2 3 11 4" xfId="2778"/>
    <cellStyle name="SUBTIT 2 3 12" xfId="808"/>
    <cellStyle name="SUBTIT 2 3 12 2" xfId="1559"/>
    <cellStyle name="SUBTIT 2 3 12 3" xfId="2091"/>
    <cellStyle name="SUBTIT 2 3 12 4" xfId="2850"/>
    <cellStyle name="SUBTIT 2 3 13" xfId="761"/>
    <cellStyle name="SUBTIT 2 3 13 2" xfId="1512"/>
    <cellStyle name="SUBTIT 2 3 13 3" xfId="2044"/>
    <cellStyle name="SUBTIT 2 3 13 4" xfId="2803"/>
    <cellStyle name="SUBTIT 2 3 14" xfId="846"/>
    <cellStyle name="SUBTIT 2 3 14 2" xfId="1597"/>
    <cellStyle name="SUBTIT 2 3 14 3" xfId="2129"/>
    <cellStyle name="SUBTIT 2 3 14 4" xfId="2888"/>
    <cellStyle name="SUBTIT 2 3 15" xfId="633"/>
    <cellStyle name="SUBTIT 2 3 15 2" xfId="1384"/>
    <cellStyle name="SUBTIT 2 3 15 3" xfId="1916"/>
    <cellStyle name="SUBTIT 2 3 15 4" xfId="2675"/>
    <cellStyle name="SUBTIT 2 3 16" xfId="775"/>
    <cellStyle name="SUBTIT 2 3 16 2" xfId="1526"/>
    <cellStyle name="SUBTIT 2 3 16 3" xfId="2058"/>
    <cellStyle name="SUBTIT 2 3 16 4" xfId="2817"/>
    <cellStyle name="SUBTIT 2 3 17" xfId="900"/>
    <cellStyle name="SUBTIT 2 3 17 2" xfId="1651"/>
    <cellStyle name="SUBTIT 2 3 17 3" xfId="2183"/>
    <cellStyle name="SUBTIT 2 3 17 4" xfId="2942"/>
    <cellStyle name="SUBTIT 2 3 18" xfId="918"/>
    <cellStyle name="SUBTIT 2 3 18 2" xfId="1669"/>
    <cellStyle name="SUBTIT 2 3 18 3" xfId="2201"/>
    <cellStyle name="SUBTIT 2 3 18 4" xfId="2960"/>
    <cellStyle name="SUBTIT 2 3 19" xfId="779"/>
    <cellStyle name="SUBTIT 2 3 19 2" xfId="1530"/>
    <cellStyle name="SUBTIT 2 3 19 3" xfId="2062"/>
    <cellStyle name="SUBTIT 2 3 19 4" xfId="2821"/>
    <cellStyle name="SUBTIT 2 3 2" xfId="524"/>
    <cellStyle name="SUBTIT 2 3 2 2" xfId="1278"/>
    <cellStyle name="SUBTIT 2 3 2 3" xfId="1843"/>
    <cellStyle name="SUBTIT 2 3 2 4" xfId="2566"/>
    <cellStyle name="SUBTIT 2 3 20" xfId="922"/>
    <cellStyle name="SUBTIT 2 3 20 2" xfId="1673"/>
    <cellStyle name="SUBTIT 2 3 20 3" xfId="2205"/>
    <cellStyle name="SUBTIT 2 3 20 4" xfId="2964"/>
    <cellStyle name="SUBTIT 2 3 21" xfId="578"/>
    <cellStyle name="SUBTIT 2 3 21 2" xfId="1329"/>
    <cellStyle name="SUBTIT 2 3 21 3" xfId="1861"/>
    <cellStyle name="SUBTIT 2 3 21 4" xfId="2620"/>
    <cellStyle name="SUBTIT 2 3 22" xfId="963"/>
    <cellStyle name="SUBTIT 2 3 22 2" xfId="1714"/>
    <cellStyle name="SUBTIT 2 3 22 3" xfId="2246"/>
    <cellStyle name="SUBTIT 2 3 22 4" xfId="3005"/>
    <cellStyle name="SUBTIT 2 3 23" xfId="948"/>
    <cellStyle name="SUBTIT 2 3 23 2" xfId="1699"/>
    <cellStyle name="SUBTIT 2 3 23 3" xfId="2231"/>
    <cellStyle name="SUBTIT 2 3 23 4" xfId="2990"/>
    <cellStyle name="SUBTIT 2 3 24" xfId="1068"/>
    <cellStyle name="SUBTIT 2 3 25" xfId="1735"/>
    <cellStyle name="SUBTIT 2 3 26" xfId="2346"/>
    <cellStyle name="SUBTIT 2 3 3" xfId="605"/>
    <cellStyle name="SUBTIT 2 3 3 2" xfId="1356"/>
    <cellStyle name="SUBTIT 2 3 3 3" xfId="1888"/>
    <cellStyle name="SUBTIT 2 3 3 4" xfId="2647"/>
    <cellStyle name="SUBTIT 2 3 4" xfId="641"/>
    <cellStyle name="SUBTIT 2 3 4 2" xfId="1392"/>
    <cellStyle name="SUBTIT 2 3 4 3" xfId="1924"/>
    <cellStyle name="SUBTIT 2 3 4 4" xfId="2683"/>
    <cellStyle name="SUBTIT 2 3 5" xfId="574"/>
    <cellStyle name="SUBTIT 2 3 5 2" xfId="1325"/>
    <cellStyle name="SUBTIT 2 3 5 3" xfId="1857"/>
    <cellStyle name="SUBTIT 2 3 5 4" xfId="2616"/>
    <cellStyle name="SUBTIT 2 3 6" xfId="401"/>
    <cellStyle name="SUBTIT 2 3 6 2" xfId="1161"/>
    <cellStyle name="SUBTIT 2 3 6 3" xfId="1794"/>
    <cellStyle name="SUBTIT 2 3 6 4" xfId="2443"/>
    <cellStyle name="SUBTIT 2 3 7" xfId="614"/>
    <cellStyle name="SUBTIT 2 3 7 2" xfId="1365"/>
    <cellStyle name="SUBTIT 2 3 7 3" xfId="1897"/>
    <cellStyle name="SUBTIT 2 3 7 4" xfId="2656"/>
    <cellStyle name="SUBTIT 2 3 8" xfId="639"/>
    <cellStyle name="SUBTIT 2 3 8 2" xfId="1390"/>
    <cellStyle name="SUBTIT 2 3 8 3" xfId="1922"/>
    <cellStyle name="SUBTIT 2 3 8 4" xfId="2681"/>
    <cellStyle name="SUBTIT 2 3 9" xfId="380"/>
    <cellStyle name="SUBTIT 2 3 9 2" xfId="1140"/>
    <cellStyle name="SUBTIT 2 3 9 3" xfId="1773"/>
    <cellStyle name="SUBTIT 2 3 9 4" xfId="2422"/>
    <cellStyle name="SUBTIT 2 4" xfId="441"/>
    <cellStyle name="SUBTIT 2 4 2" xfId="1200"/>
    <cellStyle name="SUBTIT 2 4 3" xfId="1816"/>
    <cellStyle name="SUBTIT 2 4 4" xfId="2483"/>
    <cellStyle name="SUBTIT 2 5" xfId="381"/>
    <cellStyle name="SUBTIT 2 5 2" xfId="1141"/>
    <cellStyle name="SUBTIT 2 5 3" xfId="1774"/>
    <cellStyle name="SUBTIT 2 5 4" xfId="2423"/>
    <cellStyle name="SUBTIT 2 6" xfId="391"/>
    <cellStyle name="SUBTIT 2 6 2" xfId="1151"/>
    <cellStyle name="SUBTIT 2 6 3" xfId="1784"/>
    <cellStyle name="SUBTIT 2 6 4" xfId="2433"/>
    <cellStyle name="SUBTIT 2 7" xfId="375"/>
    <cellStyle name="SUBTIT 2 7 2" xfId="1135"/>
    <cellStyle name="SUBTIT 2 7 3" xfId="1768"/>
    <cellStyle name="SUBTIT 2 7 4" xfId="2417"/>
    <cellStyle name="SUBTIT 2 8" xfId="676"/>
    <cellStyle name="SUBTIT 2 8 2" xfId="1427"/>
    <cellStyle name="SUBTIT 2 8 3" xfId="1959"/>
    <cellStyle name="SUBTIT 2 8 4" xfId="2718"/>
    <cellStyle name="SUBTIT 2 9" xfId="369"/>
    <cellStyle name="SUBTIT 2 9 2" xfId="1129"/>
    <cellStyle name="SUBTIT 2 9 3" xfId="1762"/>
    <cellStyle name="SUBTIT 2 9 4" xfId="2411"/>
    <cellStyle name="SUBTIT 20" xfId="368"/>
    <cellStyle name="SUBTIT 20 2" xfId="1128"/>
    <cellStyle name="SUBTIT 20 3" xfId="1761"/>
    <cellStyle name="SUBTIT 20 4" xfId="2410"/>
    <cellStyle name="SUBTIT 21" xfId="640"/>
    <cellStyle name="SUBTIT 21 2" xfId="1391"/>
    <cellStyle name="SUBTIT 21 3" xfId="1923"/>
    <cellStyle name="SUBTIT 21 4" xfId="2682"/>
    <cellStyle name="SUBTIT 22" xfId="733"/>
    <cellStyle name="SUBTIT 22 2" xfId="1484"/>
    <cellStyle name="SUBTIT 22 3" xfId="2016"/>
    <cellStyle name="SUBTIT 22 4" xfId="2775"/>
    <cellStyle name="SUBTIT 23" xfId="594"/>
    <cellStyle name="SUBTIT 23 2" xfId="1345"/>
    <cellStyle name="SUBTIT 23 3" xfId="1877"/>
    <cellStyle name="SUBTIT 23 4" xfId="2636"/>
    <cellStyle name="SUBTIT 24" xfId="856"/>
    <cellStyle name="SUBTIT 24 2" xfId="1607"/>
    <cellStyle name="SUBTIT 24 3" xfId="2139"/>
    <cellStyle name="SUBTIT 24 4" xfId="2898"/>
    <cellStyle name="SUBTIT 25" xfId="867"/>
    <cellStyle name="SUBTIT 25 2" xfId="1618"/>
    <cellStyle name="SUBTIT 25 3" xfId="2150"/>
    <cellStyle name="SUBTIT 25 4" xfId="2909"/>
    <cellStyle name="SUBTIT 26" xfId="765"/>
    <cellStyle name="SUBTIT 26 2" xfId="1516"/>
    <cellStyle name="SUBTIT 26 3" xfId="2048"/>
    <cellStyle name="SUBTIT 26 4" xfId="2807"/>
    <cellStyle name="SUBTIT 27" xfId="634"/>
    <cellStyle name="SUBTIT 27 2" xfId="1385"/>
    <cellStyle name="SUBTIT 27 3" xfId="1917"/>
    <cellStyle name="SUBTIT 27 4" xfId="2676"/>
    <cellStyle name="SUBTIT 28" xfId="919"/>
    <cellStyle name="SUBTIT 28 2" xfId="1670"/>
    <cellStyle name="SUBTIT 28 3" xfId="2202"/>
    <cellStyle name="SUBTIT 28 4" xfId="2961"/>
    <cellStyle name="SUBTIT 29" xfId="677"/>
    <cellStyle name="SUBTIT 29 2" xfId="1428"/>
    <cellStyle name="SUBTIT 29 3" xfId="1960"/>
    <cellStyle name="SUBTIT 29 4" xfId="2719"/>
    <cellStyle name="SUBTIT 3" xfId="199"/>
    <cellStyle name="SUBTIT 3 10" xfId="398"/>
    <cellStyle name="SUBTIT 3 10 2" xfId="1158"/>
    <cellStyle name="SUBTIT 3 10 3" xfId="1791"/>
    <cellStyle name="SUBTIT 3 10 4" xfId="2440"/>
    <cellStyle name="SUBTIT 3 11" xfId="727"/>
    <cellStyle name="SUBTIT 3 11 2" xfId="1478"/>
    <cellStyle name="SUBTIT 3 11 3" xfId="2010"/>
    <cellStyle name="SUBTIT 3 11 4" xfId="2769"/>
    <cellStyle name="SUBTIT 3 12" xfId="705"/>
    <cellStyle name="SUBTIT 3 12 2" xfId="1456"/>
    <cellStyle name="SUBTIT 3 12 3" xfId="1988"/>
    <cellStyle name="SUBTIT 3 12 4" xfId="2747"/>
    <cellStyle name="SUBTIT 3 13" xfId="723"/>
    <cellStyle name="SUBTIT 3 13 2" xfId="1474"/>
    <cellStyle name="SUBTIT 3 13 3" xfId="2006"/>
    <cellStyle name="SUBTIT 3 13 4" xfId="2765"/>
    <cellStyle name="SUBTIT 3 14" xfId="418"/>
    <cellStyle name="SUBTIT 3 14 2" xfId="1178"/>
    <cellStyle name="SUBTIT 3 14 3" xfId="1811"/>
    <cellStyle name="SUBTIT 3 14 4" xfId="2460"/>
    <cellStyle name="SUBTIT 3 15" xfId="721"/>
    <cellStyle name="SUBTIT 3 15 2" xfId="1472"/>
    <cellStyle name="SUBTIT 3 15 3" xfId="2004"/>
    <cellStyle name="SUBTIT 3 15 4" xfId="2763"/>
    <cellStyle name="SUBTIT 3 16" xfId="747"/>
    <cellStyle name="SUBTIT 3 16 2" xfId="1498"/>
    <cellStyle name="SUBTIT 3 16 3" xfId="2030"/>
    <cellStyle name="SUBTIT 3 16 4" xfId="2789"/>
    <cellStyle name="SUBTIT 3 17" xfId="783"/>
    <cellStyle name="SUBTIT 3 17 2" xfId="1534"/>
    <cellStyle name="SUBTIT 3 17 3" xfId="2066"/>
    <cellStyle name="SUBTIT 3 17 4" xfId="2825"/>
    <cellStyle name="SUBTIT 3 18" xfId="939"/>
    <cellStyle name="SUBTIT 3 18 2" xfId="1690"/>
    <cellStyle name="SUBTIT 3 18 3" xfId="2222"/>
    <cellStyle name="SUBTIT 3 18 4" xfId="2981"/>
    <cellStyle name="SUBTIT 3 19" xfId="1010"/>
    <cellStyle name="SUBTIT 3 2" xfId="276"/>
    <cellStyle name="SUBTIT 3 2 10" xfId="753"/>
    <cellStyle name="SUBTIT 3 2 10 2" xfId="1504"/>
    <cellStyle name="SUBTIT 3 2 10 3" xfId="2036"/>
    <cellStyle name="SUBTIT 3 2 10 4" xfId="2795"/>
    <cellStyle name="SUBTIT 3 2 11" xfId="722"/>
    <cellStyle name="SUBTIT 3 2 11 2" xfId="1473"/>
    <cellStyle name="SUBTIT 3 2 11 3" xfId="2005"/>
    <cellStyle name="SUBTIT 3 2 11 4" xfId="2764"/>
    <cellStyle name="SUBTIT 3 2 12" xfId="404"/>
    <cellStyle name="SUBTIT 3 2 12 2" xfId="1164"/>
    <cellStyle name="SUBTIT 3 2 12 3" xfId="1797"/>
    <cellStyle name="SUBTIT 3 2 12 4" xfId="2446"/>
    <cellStyle name="SUBTIT 3 2 13" xfId="815"/>
    <cellStyle name="SUBTIT 3 2 13 2" xfId="1566"/>
    <cellStyle name="SUBTIT 3 2 13 3" xfId="2098"/>
    <cellStyle name="SUBTIT 3 2 13 4" xfId="2857"/>
    <cellStyle name="SUBTIT 3 2 14" xfId="748"/>
    <cellStyle name="SUBTIT 3 2 14 2" xfId="1499"/>
    <cellStyle name="SUBTIT 3 2 14 3" xfId="2031"/>
    <cellStyle name="SUBTIT 3 2 14 4" xfId="2790"/>
    <cellStyle name="SUBTIT 3 2 15" xfId="890"/>
    <cellStyle name="SUBTIT 3 2 15 2" xfId="1641"/>
    <cellStyle name="SUBTIT 3 2 15 3" xfId="2173"/>
    <cellStyle name="SUBTIT 3 2 15 4" xfId="2932"/>
    <cellStyle name="SUBTIT 3 2 16" xfId="821"/>
    <cellStyle name="SUBTIT 3 2 16 2" xfId="1572"/>
    <cellStyle name="SUBTIT 3 2 16 3" xfId="2104"/>
    <cellStyle name="SUBTIT 3 2 16 4" xfId="2863"/>
    <cellStyle name="SUBTIT 3 2 17" xfId="937"/>
    <cellStyle name="SUBTIT 3 2 17 2" xfId="1688"/>
    <cellStyle name="SUBTIT 3 2 17 3" xfId="2220"/>
    <cellStyle name="SUBTIT 3 2 17 4" xfId="2979"/>
    <cellStyle name="SUBTIT 3 2 18" xfId="1043"/>
    <cellStyle name="SUBTIT 3 2 2" xfId="346"/>
    <cellStyle name="SUBTIT 3 2 2 10" xfId="784"/>
    <cellStyle name="SUBTIT 3 2 2 10 2" xfId="1535"/>
    <cellStyle name="SUBTIT 3 2 2 10 3" xfId="2067"/>
    <cellStyle name="SUBTIT 3 2 2 10 4" xfId="2826"/>
    <cellStyle name="SUBTIT 3 2 2 11" xfId="797"/>
    <cellStyle name="SUBTIT 3 2 2 11 2" xfId="1548"/>
    <cellStyle name="SUBTIT 3 2 2 11 3" xfId="2080"/>
    <cellStyle name="SUBTIT 3 2 2 11 4" xfId="2839"/>
    <cellStyle name="SUBTIT 3 2 2 12" xfId="825"/>
    <cellStyle name="SUBTIT 3 2 2 12 2" xfId="1576"/>
    <cellStyle name="SUBTIT 3 2 2 12 3" xfId="2108"/>
    <cellStyle name="SUBTIT 3 2 2 12 4" xfId="2867"/>
    <cellStyle name="SUBTIT 3 2 2 13" xfId="834"/>
    <cellStyle name="SUBTIT 3 2 2 13 2" xfId="1585"/>
    <cellStyle name="SUBTIT 3 2 2 13 3" xfId="2117"/>
    <cellStyle name="SUBTIT 3 2 2 13 4" xfId="2876"/>
    <cellStyle name="SUBTIT 3 2 2 14" xfId="860"/>
    <cellStyle name="SUBTIT 3 2 2 14 2" xfId="1611"/>
    <cellStyle name="SUBTIT 3 2 2 14 3" xfId="2143"/>
    <cellStyle name="SUBTIT 3 2 2 14 4" xfId="2902"/>
    <cellStyle name="SUBTIT 3 2 2 15" xfId="871"/>
    <cellStyle name="SUBTIT 3 2 2 15 2" xfId="1622"/>
    <cellStyle name="SUBTIT 3 2 2 15 3" xfId="2154"/>
    <cellStyle name="SUBTIT 3 2 2 15 4" xfId="2913"/>
    <cellStyle name="SUBTIT 3 2 2 16" xfId="878"/>
    <cellStyle name="SUBTIT 3 2 2 16 2" xfId="1629"/>
    <cellStyle name="SUBTIT 3 2 2 16 3" xfId="2161"/>
    <cellStyle name="SUBTIT 3 2 2 16 4" xfId="2920"/>
    <cellStyle name="SUBTIT 3 2 2 17" xfId="908"/>
    <cellStyle name="SUBTIT 3 2 2 17 2" xfId="1659"/>
    <cellStyle name="SUBTIT 3 2 2 17 3" xfId="2191"/>
    <cellStyle name="SUBTIT 3 2 2 17 4" xfId="2950"/>
    <cellStyle name="SUBTIT 3 2 2 18" xfId="930"/>
    <cellStyle name="SUBTIT 3 2 2 18 2" xfId="1681"/>
    <cellStyle name="SUBTIT 3 2 2 18 3" xfId="2213"/>
    <cellStyle name="SUBTIT 3 2 2 18 4" xfId="2972"/>
    <cellStyle name="SUBTIT 3 2 2 19" xfId="942"/>
    <cellStyle name="SUBTIT 3 2 2 19 2" xfId="1693"/>
    <cellStyle name="SUBTIT 3 2 2 19 3" xfId="2225"/>
    <cellStyle name="SUBTIT 3 2 2 19 4" xfId="2984"/>
    <cellStyle name="SUBTIT 3 2 2 2" xfId="567"/>
    <cellStyle name="SUBTIT 3 2 2 2 2" xfId="1318"/>
    <cellStyle name="SUBTIT 3 2 2 2 3" xfId="1850"/>
    <cellStyle name="SUBTIT 3 2 2 2 4" xfId="2609"/>
    <cellStyle name="SUBTIT 3 2 2 20" xfId="950"/>
    <cellStyle name="SUBTIT 3 2 2 20 2" xfId="1701"/>
    <cellStyle name="SUBTIT 3 2 2 20 3" xfId="2233"/>
    <cellStyle name="SUBTIT 3 2 2 20 4" xfId="2992"/>
    <cellStyle name="SUBTIT 3 2 2 21" xfId="957"/>
    <cellStyle name="SUBTIT 3 2 2 21 2" xfId="1708"/>
    <cellStyle name="SUBTIT 3 2 2 21 3" xfId="2240"/>
    <cellStyle name="SUBTIT 3 2 2 21 4" xfId="2999"/>
    <cellStyle name="SUBTIT 3 2 2 22" xfId="970"/>
    <cellStyle name="SUBTIT 3 2 2 22 2" xfId="1721"/>
    <cellStyle name="SUBTIT 3 2 2 22 3" xfId="2253"/>
    <cellStyle name="SUBTIT 3 2 2 22 4" xfId="3012"/>
    <cellStyle name="SUBTIT 3 2 2 23" xfId="977"/>
    <cellStyle name="SUBTIT 3 2 2 23 2" xfId="1728"/>
    <cellStyle name="SUBTIT 3 2 2 23 3" xfId="2260"/>
    <cellStyle name="SUBTIT 3 2 2 23 4" xfId="3019"/>
    <cellStyle name="SUBTIT 3 2 2 24" xfId="1108"/>
    <cellStyle name="SUBTIT 3 2 2 25" xfId="1742"/>
    <cellStyle name="SUBTIT 3 2 2 26" xfId="2389"/>
    <cellStyle name="SUBTIT 3 2 2 3" xfId="617"/>
    <cellStyle name="SUBTIT 3 2 2 3 2" xfId="1368"/>
    <cellStyle name="SUBTIT 3 2 2 3 3" xfId="1900"/>
    <cellStyle name="SUBTIT 3 2 2 3 4" xfId="2659"/>
    <cellStyle name="SUBTIT 3 2 2 4" xfId="658"/>
    <cellStyle name="SUBTIT 3 2 2 4 2" xfId="1409"/>
    <cellStyle name="SUBTIT 3 2 2 4 3" xfId="1941"/>
    <cellStyle name="SUBTIT 3 2 2 4 4" xfId="2700"/>
    <cellStyle name="SUBTIT 3 2 2 5" xfId="670"/>
    <cellStyle name="SUBTIT 3 2 2 5 2" xfId="1421"/>
    <cellStyle name="SUBTIT 3 2 2 5 3" xfId="1953"/>
    <cellStyle name="SUBTIT 3 2 2 5 4" xfId="2712"/>
    <cellStyle name="SUBTIT 3 2 2 6" xfId="354"/>
    <cellStyle name="SUBTIT 3 2 2 6 2" xfId="1115"/>
    <cellStyle name="SUBTIT 3 2 2 6 3" xfId="1749"/>
    <cellStyle name="SUBTIT 3 2 2 6 4" xfId="2396"/>
    <cellStyle name="SUBTIT 3 2 2 7" xfId="696"/>
    <cellStyle name="SUBTIT 3 2 2 7 2" xfId="1447"/>
    <cellStyle name="SUBTIT 3 2 2 7 3" xfId="1979"/>
    <cellStyle name="SUBTIT 3 2 2 7 4" xfId="2738"/>
    <cellStyle name="SUBTIT 3 2 2 8" xfId="707"/>
    <cellStyle name="SUBTIT 3 2 2 8 2" xfId="1458"/>
    <cellStyle name="SUBTIT 3 2 2 8 3" xfId="1990"/>
    <cellStyle name="SUBTIT 3 2 2 8 4" xfId="2749"/>
    <cellStyle name="SUBTIT 3 2 2 9" xfId="715"/>
    <cellStyle name="SUBTIT 3 2 2 9 2" xfId="1466"/>
    <cellStyle name="SUBTIT 3 2 2 9 3" xfId="1998"/>
    <cellStyle name="SUBTIT 3 2 2 9 4" xfId="2757"/>
    <cellStyle name="SUBTIT 3 2 3" xfId="497"/>
    <cellStyle name="SUBTIT 3 2 3 2" xfId="1253"/>
    <cellStyle name="SUBTIT 3 2 3 3" xfId="1836"/>
    <cellStyle name="SUBTIT 3 2 3 4" xfId="2539"/>
    <cellStyle name="SUBTIT 3 2 4" xfId="626"/>
    <cellStyle name="SUBTIT 3 2 4 2" xfId="1377"/>
    <cellStyle name="SUBTIT 3 2 4 3" xfId="1909"/>
    <cellStyle name="SUBTIT 3 2 4 4" xfId="2668"/>
    <cellStyle name="SUBTIT 3 2 5" xfId="579"/>
    <cellStyle name="SUBTIT 3 2 5 2" xfId="1330"/>
    <cellStyle name="SUBTIT 3 2 5 3" xfId="1862"/>
    <cellStyle name="SUBTIT 3 2 5 4" xfId="2621"/>
    <cellStyle name="SUBTIT 3 2 6" xfId="653"/>
    <cellStyle name="SUBTIT 3 2 6 2" xfId="1404"/>
    <cellStyle name="SUBTIT 3 2 6 3" xfId="1936"/>
    <cellStyle name="SUBTIT 3 2 6 4" xfId="2695"/>
    <cellStyle name="SUBTIT 3 2 7" xfId="625"/>
    <cellStyle name="SUBTIT 3 2 7 2" xfId="1376"/>
    <cellStyle name="SUBTIT 3 2 7 3" xfId="1908"/>
    <cellStyle name="SUBTIT 3 2 7 4" xfId="2667"/>
    <cellStyle name="SUBTIT 3 2 8" xfId="666"/>
    <cellStyle name="SUBTIT 3 2 8 2" xfId="1417"/>
    <cellStyle name="SUBTIT 3 2 8 3" xfId="1949"/>
    <cellStyle name="SUBTIT 3 2 8 4" xfId="2708"/>
    <cellStyle name="SUBTIT 3 2 9" xfId="681"/>
    <cellStyle name="SUBTIT 3 2 9 2" xfId="1432"/>
    <cellStyle name="SUBTIT 3 2 9 3" xfId="1964"/>
    <cellStyle name="SUBTIT 3 2 9 4" xfId="2723"/>
    <cellStyle name="SUBTIT 3 3" xfId="310"/>
    <cellStyle name="SUBTIT 3 3 10" xfId="771"/>
    <cellStyle name="SUBTIT 3 3 10 2" xfId="1522"/>
    <cellStyle name="SUBTIT 3 3 10 3" xfId="2054"/>
    <cellStyle name="SUBTIT 3 3 10 4" xfId="2813"/>
    <cellStyle name="SUBTIT 3 3 11" xfId="743"/>
    <cellStyle name="SUBTIT 3 3 11 2" xfId="1494"/>
    <cellStyle name="SUBTIT 3 3 11 3" xfId="2026"/>
    <cellStyle name="SUBTIT 3 3 11 4" xfId="2785"/>
    <cellStyle name="SUBTIT 3 3 12" xfId="810"/>
    <cellStyle name="SUBTIT 3 3 12 2" xfId="1561"/>
    <cellStyle name="SUBTIT 3 3 12 3" xfId="2093"/>
    <cellStyle name="SUBTIT 3 3 12 4" xfId="2852"/>
    <cellStyle name="SUBTIT 3 3 13" xfId="746"/>
    <cellStyle name="SUBTIT 3 3 13 2" xfId="1497"/>
    <cellStyle name="SUBTIT 3 3 13 3" xfId="2029"/>
    <cellStyle name="SUBTIT 3 3 13 4" xfId="2788"/>
    <cellStyle name="SUBTIT 3 3 14" xfId="848"/>
    <cellStyle name="SUBTIT 3 3 14 2" xfId="1599"/>
    <cellStyle name="SUBTIT 3 3 14 3" xfId="2131"/>
    <cellStyle name="SUBTIT 3 3 14 4" xfId="2890"/>
    <cellStyle name="SUBTIT 3 3 15" xfId="742"/>
    <cellStyle name="SUBTIT 3 3 15 2" xfId="1493"/>
    <cellStyle name="SUBTIT 3 3 15 3" xfId="2025"/>
    <cellStyle name="SUBTIT 3 3 15 4" xfId="2784"/>
    <cellStyle name="SUBTIT 3 3 16" xfId="807"/>
    <cellStyle name="SUBTIT 3 3 16 2" xfId="1558"/>
    <cellStyle name="SUBTIT 3 3 16 3" xfId="2090"/>
    <cellStyle name="SUBTIT 3 3 16 4" xfId="2849"/>
    <cellStyle name="SUBTIT 3 3 17" xfId="901"/>
    <cellStyle name="SUBTIT 3 3 17 2" xfId="1652"/>
    <cellStyle name="SUBTIT 3 3 17 3" xfId="2184"/>
    <cellStyle name="SUBTIT 3 3 17 4" xfId="2943"/>
    <cellStyle name="SUBTIT 3 3 18" xfId="920"/>
    <cellStyle name="SUBTIT 3 3 18 2" xfId="1671"/>
    <cellStyle name="SUBTIT 3 3 18 3" xfId="2203"/>
    <cellStyle name="SUBTIT 3 3 18 4" xfId="2962"/>
    <cellStyle name="SUBTIT 3 3 19" xfId="406"/>
    <cellStyle name="SUBTIT 3 3 19 2" xfId="1166"/>
    <cellStyle name="SUBTIT 3 3 19 3" xfId="1799"/>
    <cellStyle name="SUBTIT 3 3 19 4" xfId="2448"/>
    <cellStyle name="SUBTIT 3 3 2" xfId="531"/>
    <cellStyle name="SUBTIT 3 3 2 2" xfId="1285"/>
    <cellStyle name="SUBTIT 3 3 2 3" xfId="1844"/>
    <cellStyle name="SUBTIT 3 3 2 4" xfId="2573"/>
    <cellStyle name="SUBTIT 3 3 20" xfId="899"/>
    <cellStyle name="SUBTIT 3 3 20 2" xfId="1650"/>
    <cellStyle name="SUBTIT 3 3 20 3" xfId="2182"/>
    <cellStyle name="SUBTIT 3 3 20 4" xfId="2941"/>
    <cellStyle name="SUBTIT 3 3 21" xfId="916"/>
    <cellStyle name="SUBTIT 3 3 21 2" xfId="1667"/>
    <cellStyle name="SUBTIT 3 3 21 3" xfId="2199"/>
    <cellStyle name="SUBTIT 3 3 21 4" xfId="2958"/>
    <cellStyle name="SUBTIT 3 3 22" xfId="964"/>
    <cellStyle name="SUBTIT 3 3 22 2" xfId="1715"/>
    <cellStyle name="SUBTIT 3 3 22 3" xfId="2247"/>
    <cellStyle name="SUBTIT 3 3 22 4" xfId="3006"/>
    <cellStyle name="SUBTIT 3 3 23" xfId="938"/>
    <cellStyle name="SUBTIT 3 3 23 2" xfId="1689"/>
    <cellStyle name="SUBTIT 3 3 23 3" xfId="2221"/>
    <cellStyle name="SUBTIT 3 3 23 4" xfId="2980"/>
    <cellStyle name="SUBTIT 3 3 24" xfId="1075"/>
    <cellStyle name="SUBTIT 3 3 25" xfId="1736"/>
    <cellStyle name="SUBTIT 3 3 26" xfId="2353"/>
    <cellStyle name="SUBTIT 3 3 3" xfId="606"/>
    <cellStyle name="SUBTIT 3 3 3 2" xfId="1357"/>
    <cellStyle name="SUBTIT 3 3 3 3" xfId="1889"/>
    <cellStyle name="SUBTIT 3 3 3 4" xfId="2648"/>
    <cellStyle name="SUBTIT 3 3 4" xfId="643"/>
    <cellStyle name="SUBTIT 3 3 4 2" xfId="1394"/>
    <cellStyle name="SUBTIT 3 3 4 3" xfId="1926"/>
    <cellStyle name="SUBTIT 3 3 4 4" xfId="2685"/>
    <cellStyle name="SUBTIT 3 3 5" xfId="360"/>
    <cellStyle name="SUBTIT 3 3 5 2" xfId="1121"/>
    <cellStyle name="SUBTIT 3 3 5 3" xfId="1755"/>
    <cellStyle name="SUBTIT 3 3 5 4" xfId="2402"/>
    <cellStyle name="SUBTIT 3 3 6" xfId="373"/>
    <cellStyle name="SUBTIT 3 3 6 2" xfId="1133"/>
    <cellStyle name="SUBTIT 3 3 6 3" xfId="1766"/>
    <cellStyle name="SUBTIT 3 3 6 4" xfId="2415"/>
    <cellStyle name="SUBTIT 3 3 7" xfId="586"/>
    <cellStyle name="SUBTIT 3 3 7 2" xfId="1337"/>
    <cellStyle name="SUBTIT 3 3 7 3" xfId="1869"/>
    <cellStyle name="SUBTIT 3 3 7 4" xfId="2628"/>
    <cellStyle name="SUBTIT 3 3 8" xfId="422"/>
    <cellStyle name="SUBTIT 3 3 8 2" xfId="1182"/>
    <cellStyle name="SUBTIT 3 3 8 3" xfId="1813"/>
    <cellStyle name="SUBTIT 3 3 8 4" xfId="2464"/>
    <cellStyle name="SUBTIT 3 3 9" xfId="463"/>
    <cellStyle name="SUBTIT 3 3 9 2" xfId="1221"/>
    <cellStyle name="SUBTIT 3 3 9 3" xfId="1828"/>
    <cellStyle name="SUBTIT 3 3 9 4" xfId="2505"/>
    <cellStyle name="SUBTIT 3 4" xfId="448"/>
    <cellStyle name="SUBTIT 3 4 2" xfId="1207"/>
    <cellStyle name="SUBTIT 3 4 3" xfId="1817"/>
    <cellStyle name="SUBTIT 3 4 4" xfId="2490"/>
    <cellStyle name="SUBTIT 3 5" xfId="366"/>
    <cellStyle name="SUBTIT 3 5 2" xfId="1126"/>
    <cellStyle name="SUBTIT 3 5 3" xfId="1759"/>
    <cellStyle name="SUBTIT 3 5 4" xfId="2408"/>
    <cellStyle name="SUBTIT 3 6" xfId="388"/>
    <cellStyle name="SUBTIT 3 6 2" xfId="1148"/>
    <cellStyle name="SUBTIT 3 6 3" xfId="1781"/>
    <cellStyle name="SUBTIT 3 6 4" xfId="2430"/>
    <cellStyle name="SUBTIT 3 7" xfId="378"/>
    <cellStyle name="SUBTIT 3 7 2" xfId="1138"/>
    <cellStyle name="SUBTIT 3 7 3" xfId="1771"/>
    <cellStyle name="SUBTIT 3 7 4" xfId="2420"/>
    <cellStyle name="SUBTIT 3 8" xfId="648"/>
    <cellStyle name="SUBTIT 3 8 2" xfId="1399"/>
    <cellStyle name="SUBTIT 3 8 3" xfId="1931"/>
    <cellStyle name="SUBTIT 3 8 4" xfId="2690"/>
    <cellStyle name="SUBTIT 3 9" xfId="423"/>
    <cellStyle name="SUBTIT 3 9 2" xfId="1183"/>
    <cellStyle name="SUBTIT 3 9 3" xfId="1814"/>
    <cellStyle name="SUBTIT 3 9 4" xfId="2465"/>
    <cellStyle name="SUBTIT 30" xfId="941"/>
    <cellStyle name="SUBTIT 30 2" xfId="1692"/>
    <cellStyle name="SUBTIT 30 3" xfId="2224"/>
    <cellStyle name="SUBTIT 30 4" xfId="2983"/>
    <cellStyle name="SUBTIT 31" xfId="897"/>
    <cellStyle name="SUBTIT 31 2" xfId="1648"/>
    <cellStyle name="SUBTIT 31 3" xfId="2180"/>
    <cellStyle name="SUBTIT 31 4" xfId="2939"/>
    <cellStyle name="SUBTIT 32" xfId="985"/>
    <cellStyle name="SUBTIT 33" xfId="2269"/>
    <cellStyle name="SUBTIT 4" xfId="204"/>
    <cellStyle name="SUBTIT 4 10" xfId="468"/>
    <cellStyle name="SUBTIT 4 10 2" xfId="1226"/>
    <cellStyle name="SUBTIT 4 10 3" xfId="1833"/>
    <cellStyle name="SUBTIT 4 10 4" xfId="2510"/>
    <cellStyle name="SUBTIT 4 11" xfId="729"/>
    <cellStyle name="SUBTIT 4 11 2" xfId="1480"/>
    <cellStyle name="SUBTIT 4 11 3" xfId="2012"/>
    <cellStyle name="SUBTIT 4 11 4" xfId="2771"/>
    <cellStyle name="SUBTIT 4 12" xfId="691"/>
    <cellStyle name="SUBTIT 4 12 2" xfId="1442"/>
    <cellStyle name="SUBTIT 4 12 3" xfId="1974"/>
    <cellStyle name="SUBTIT 4 12 4" xfId="2733"/>
    <cellStyle name="SUBTIT 4 13" xfId="744"/>
    <cellStyle name="SUBTIT 4 13 2" xfId="1495"/>
    <cellStyle name="SUBTIT 4 13 3" xfId="2027"/>
    <cellStyle name="SUBTIT 4 13 4" xfId="2786"/>
    <cellStyle name="SUBTIT 4 14" xfId="410"/>
    <cellStyle name="SUBTIT 4 14 2" xfId="1170"/>
    <cellStyle name="SUBTIT 4 14 3" xfId="1803"/>
    <cellStyle name="SUBTIT 4 14 4" xfId="2452"/>
    <cellStyle name="SUBTIT 4 15" xfId="703"/>
    <cellStyle name="SUBTIT 4 15 2" xfId="1454"/>
    <cellStyle name="SUBTIT 4 15 3" xfId="1986"/>
    <cellStyle name="SUBTIT 4 15 4" xfId="2745"/>
    <cellStyle name="SUBTIT 4 16" xfId="595"/>
    <cellStyle name="SUBTIT 4 16 2" xfId="1346"/>
    <cellStyle name="SUBTIT 4 16 3" xfId="1878"/>
    <cellStyle name="SUBTIT 4 16 4" xfId="2637"/>
    <cellStyle name="SUBTIT 4 17" xfId="459"/>
    <cellStyle name="SUBTIT 4 17 2" xfId="1217"/>
    <cellStyle name="SUBTIT 4 17 3" xfId="1824"/>
    <cellStyle name="SUBTIT 4 17 4" xfId="2501"/>
    <cellStyle name="SUBTIT 4 18" xfId="885"/>
    <cellStyle name="SUBTIT 4 18 2" xfId="1636"/>
    <cellStyle name="SUBTIT 4 18 3" xfId="2168"/>
    <cellStyle name="SUBTIT 4 18 4" xfId="2927"/>
    <cellStyle name="SUBTIT 4 19" xfId="1014"/>
    <cellStyle name="SUBTIT 4 2" xfId="279"/>
    <cellStyle name="SUBTIT 4 2 10" xfId="756"/>
    <cellStyle name="SUBTIT 4 2 10 2" xfId="1507"/>
    <cellStyle name="SUBTIT 4 2 10 3" xfId="2039"/>
    <cellStyle name="SUBTIT 4 2 10 4" xfId="2798"/>
    <cellStyle name="SUBTIT 4 2 11" xfId="377"/>
    <cellStyle name="SUBTIT 4 2 11 2" xfId="1137"/>
    <cellStyle name="SUBTIT 4 2 11 3" xfId="1770"/>
    <cellStyle name="SUBTIT 4 2 11 4" xfId="2419"/>
    <cellStyle name="SUBTIT 4 2 12" xfId="419"/>
    <cellStyle name="SUBTIT 4 2 12 2" xfId="1179"/>
    <cellStyle name="SUBTIT 4 2 12 3" xfId="1812"/>
    <cellStyle name="SUBTIT 4 2 12 4" xfId="2461"/>
    <cellStyle name="SUBTIT 4 2 13" xfId="841"/>
    <cellStyle name="SUBTIT 4 2 13 2" xfId="1592"/>
    <cellStyle name="SUBTIT 4 2 13 3" xfId="2124"/>
    <cellStyle name="SUBTIT 4 2 13 4" xfId="2883"/>
    <cellStyle name="SUBTIT 4 2 14" xfId="831"/>
    <cellStyle name="SUBTIT 4 2 14 2" xfId="1582"/>
    <cellStyle name="SUBTIT 4 2 14 3" xfId="2114"/>
    <cellStyle name="SUBTIT 4 2 14 4" xfId="2873"/>
    <cellStyle name="SUBTIT 4 2 15" xfId="893"/>
    <cellStyle name="SUBTIT 4 2 15 2" xfId="1644"/>
    <cellStyle name="SUBTIT 4 2 15 3" xfId="2176"/>
    <cellStyle name="SUBTIT 4 2 15 4" xfId="2935"/>
    <cellStyle name="SUBTIT 4 2 16" xfId="370"/>
    <cellStyle name="SUBTIT 4 2 16 2" xfId="1130"/>
    <cellStyle name="SUBTIT 4 2 16 3" xfId="1763"/>
    <cellStyle name="SUBTIT 4 2 16 4" xfId="2412"/>
    <cellStyle name="SUBTIT 4 2 17" xfId="868"/>
    <cellStyle name="SUBTIT 4 2 17 2" xfId="1619"/>
    <cellStyle name="SUBTIT 4 2 17 3" xfId="2151"/>
    <cellStyle name="SUBTIT 4 2 17 4" xfId="2910"/>
    <cellStyle name="SUBTIT 4 2 18" xfId="1046"/>
    <cellStyle name="SUBTIT 4 2 2" xfId="349"/>
    <cellStyle name="SUBTIT 4 2 2 10" xfId="787"/>
    <cellStyle name="SUBTIT 4 2 2 10 2" xfId="1538"/>
    <cellStyle name="SUBTIT 4 2 2 10 3" xfId="2070"/>
    <cellStyle name="SUBTIT 4 2 2 10 4" xfId="2829"/>
    <cellStyle name="SUBTIT 4 2 2 11" xfId="800"/>
    <cellStyle name="SUBTIT 4 2 2 11 2" xfId="1551"/>
    <cellStyle name="SUBTIT 4 2 2 11 3" xfId="2083"/>
    <cellStyle name="SUBTIT 4 2 2 11 4" xfId="2842"/>
    <cellStyle name="SUBTIT 4 2 2 12" xfId="828"/>
    <cellStyle name="SUBTIT 4 2 2 12 2" xfId="1579"/>
    <cellStyle name="SUBTIT 4 2 2 12 3" xfId="2111"/>
    <cellStyle name="SUBTIT 4 2 2 12 4" xfId="2870"/>
    <cellStyle name="SUBTIT 4 2 2 13" xfId="837"/>
    <cellStyle name="SUBTIT 4 2 2 13 2" xfId="1588"/>
    <cellStyle name="SUBTIT 4 2 2 13 3" xfId="2120"/>
    <cellStyle name="SUBTIT 4 2 2 13 4" xfId="2879"/>
    <cellStyle name="SUBTIT 4 2 2 14" xfId="863"/>
    <cellStyle name="SUBTIT 4 2 2 14 2" xfId="1614"/>
    <cellStyle name="SUBTIT 4 2 2 14 3" xfId="2146"/>
    <cellStyle name="SUBTIT 4 2 2 14 4" xfId="2905"/>
    <cellStyle name="SUBTIT 4 2 2 15" xfId="874"/>
    <cellStyle name="SUBTIT 4 2 2 15 2" xfId="1625"/>
    <cellStyle name="SUBTIT 4 2 2 15 3" xfId="2157"/>
    <cellStyle name="SUBTIT 4 2 2 15 4" xfId="2916"/>
    <cellStyle name="SUBTIT 4 2 2 16" xfId="881"/>
    <cellStyle name="SUBTIT 4 2 2 16 2" xfId="1632"/>
    <cellStyle name="SUBTIT 4 2 2 16 3" xfId="2164"/>
    <cellStyle name="SUBTIT 4 2 2 16 4" xfId="2923"/>
    <cellStyle name="SUBTIT 4 2 2 17" xfId="911"/>
    <cellStyle name="SUBTIT 4 2 2 17 2" xfId="1662"/>
    <cellStyle name="SUBTIT 4 2 2 17 3" xfId="2194"/>
    <cellStyle name="SUBTIT 4 2 2 17 4" xfId="2953"/>
    <cellStyle name="SUBTIT 4 2 2 18" xfId="933"/>
    <cellStyle name="SUBTIT 4 2 2 18 2" xfId="1684"/>
    <cellStyle name="SUBTIT 4 2 2 18 3" xfId="2216"/>
    <cellStyle name="SUBTIT 4 2 2 18 4" xfId="2975"/>
    <cellStyle name="SUBTIT 4 2 2 19" xfId="945"/>
    <cellStyle name="SUBTIT 4 2 2 19 2" xfId="1696"/>
    <cellStyle name="SUBTIT 4 2 2 19 3" xfId="2228"/>
    <cellStyle name="SUBTIT 4 2 2 19 4" xfId="2987"/>
    <cellStyle name="SUBTIT 4 2 2 2" xfId="570"/>
    <cellStyle name="SUBTIT 4 2 2 2 2" xfId="1321"/>
    <cellStyle name="SUBTIT 4 2 2 2 3" xfId="1853"/>
    <cellStyle name="SUBTIT 4 2 2 2 4" xfId="2612"/>
    <cellStyle name="SUBTIT 4 2 2 20" xfId="953"/>
    <cellStyle name="SUBTIT 4 2 2 20 2" xfId="1704"/>
    <cellStyle name="SUBTIT 4 2 2 20 3" xfId="2236"/>
    <cellStyle name="SUBTIT 4 2 2 20 4" xfId="2995"/>
    <cellStyle name="SUBTIT 4 2 2 21" xfId="960"/>
    <cellStyle name="SUBTIT 4 2 2 21 2" xfId="1711"/>
    <cellStyle name="SUBTIT 4 2 2 21 3" xfId="2243"/>
    <cellStyle name="SUBTIT 4 2 2 21 4" xfId="3002"/>
    <cellStyle name="SUBTIT 4 2 2 22" xfId="973"/>
    <cellStyle name="SUBTIT 4 2 2 22 2" xfId="1724"/>
    <cellStyle name="SUBTIT 4 2 2 22 3" xfId="2256"/>
    <cellStyle name="SUBTIT 4 2 2 22 4" xfId="3015"/>
    <cellStyle name="SUBTIT 4 2 2 23" xfId="980"/>
    <cellStyle name="SUBTIT 4 2 2 23 2" xfId="1731"/>
    <cellStyle name="SUBTIT 4 2 2 23 3" xfId="2263"/>
    <cellStyle name="SUBTIT 4 2 2 23 4" xfId="3022"/>
    <cellStyle name="SUBTIT 4 2 2 24" xfId="1111"/>
    <cellStyle name="SUBTIT 4 2 2 25" xfId="1745"/>
    <cellStyle name="SUBTIT 4 2 2 26" xfId="2392"/>
    <cellStyle name="SUBTIT 4 2 2 3" xfId="620"/>
    <cellStyle name="SUBTIT 4 2 2 3 2" xfId="1371"/>
    <cellStyle name="SUBTIT 4 2 2 3 3" xfId="1903"/>
    <cellStyle name="SUBTIT 4 2 2 3 4" xfId="2662"/>
    <cellStyle name="SUBTIT 4 2 2 4" xfId="661"/>
    <cellStyle name="SUBTIT 4 2 2 4 2" xfId="1412"/>
    <cellStyle name="SUBTIT 4 2 2 4 3" xfId="1944"/>
    <cellStyle name="SUBTIT 4 2 2 4 4" xfId="2703"/>
    <cellStyle name="SUBTIT 4 2 2 5" xfId="673"/>
    <cellStyle name="SUBTIT 4 2 2 5 2" xfId="1424"/>
    <cellStyle name="SUBTIT 4 2 2 5 3" xfId="1956"/>
    <cellStyle name="SUBTIT 4 2 2 5 4" xfId="2715"/>
    <cellStyle name="SUBTIT 4 2 2 6" xfId="390"/>
    <cellStyle name="SUBTIT 4 2 2 6 2" xfId="1150"/>
    <cellStyle name="SUBTIT 4 2 2 6 3" xfId="1783"/>
    <cellStyle name="SUBTIT 4 2 2 6 4" xfId="2432"/>
    <cellStyle name="SUBTIT 4 2 2 7" xfId="699"/>
    <cellStyle name="SUBTIT 4 2 2 7 2" xfId="1450"/>
    <cellStyle name="SUBTIT 4 2 2 7 3" xfId="1982"/>
    <cellStyle name="SUBTIT 4 2 2 7 4" xfId="2741"/>
    <cellStyle name="SUBTIT 4 2 2 8" xfId="710"/>
    <cellStyle name="SUBTIT 4 2 2 8 2" xfId="1461"/>
    <cellStyle name="SUBTIT 4 2 2 8 3" xfId="1993"/>
    <cellStyle name="SUBTIT 4 2 2 8 4" xfId="2752"/>
    <cellStyle name="SUBTIT 4 2 2 9" xfId="718"/>
    <cellStyle name="SUBTIT 4 2 2 9 2" xfId="1469"/>
    <cellStyle name="SUBTIT 4 2 2 9 3" xfId="2001"/>
    <cellStyle name="SUBTIT 4 2 2 9 4" xfId="2760"/>
    <cellStyle name="SUBTIT 4 2 3" xfId="500"/>
    <cellStyle name="SUBTIT 4 2 3 2" xfId="1256"/>
    <cellStyle name="SUBTIT 4 2 3 3" xfId="1839"/>
    <cellStyle name="SUBTIT 4 2 3 4" xfId="2542"/>
    <cellStyle name="SUBTIT 4 2 4" xfId="629"/>
    <cellStyle name="SUBTIT 4 2 4 2" xfId="1380"/>
    <cellStyle name="SUBTIT 4 2 4 3" xfId="1912"/>
    <cellStyle name="SUBTIT 4 2 4 4" xfId="2671"/>
    <cellStyle name="SUBTIT 4 2 5" xfId="407"/>
    <cellStyle name="SUBTIT 4 2 5 2" xfId="1167"/>
    <cellStyle name="SUBTIT 4 2 5 3" xfId="1800"/>
    <cellStyle name="SUBTIT 4 2 5 4" xfId="2449"/>
    <cellStyle name="SUBTIT 4 2 6" xfId="638"/>
    <cellStyle name="SUBTIT 4 2 6 2" xfId="1389"/>
    <cellStyle name="SUBTIT 4 2 6 3" xfId="1921"/>
    <cellStyle name="SUBTIT 4 2 6 4" xfId="2680"/>
    <cellStyle name="SUBTIT 4 2 7" xfId="598"/>
    <cellStyle name="SUBTIT 4 2 7 2" xfId="1349"/>
    <cellStyle name="SUBTIT 4 2 7 3" xfId="1881"/>
    <cellStyle name="SUBTIT 4 2 7 4" xfId="2640"/>
    <cellStyle name="SUBTIT 4 2 8" xfId="582"/>
    <cellStyle name="SUBTIT 4 2 8 2" xfId="1333"/>
    <cellStyle name="SUBTIT 4 2 8 3" xfId="1865"/>
    <cellStyle name="SUBTIT 4 2 8 4" xfId="2624"/>
    <cellStyle name="SUBTIT 4 2 9" xfId="408"/>
    <cellStyle name="SUBTIT 4 2 9 2" xfId="1168"/>
    <cellStyle name="SUBTIT 4 2 9 3" xfId="1801"/>
    <cellStyle name="SUBTIT 4 2 9 4" xfId="2450"/>
    <cellStyle name="SUBTIT 4 3" xfId="315"/>
    <cellStyle name="SUBTIT 4 3 10" xfId="774"/>
    <cellStyle name="SUBTIT 4 3 10 2" xfId="1525"/>
    <cellStyle name="SUBTIT 4 3 10 3" xfId="2057"/>
    <cellStyle name="SUBTIT 4 3 10 4" xfId="2816"/>
    <cellStyle name="SUBTIT 4 3 11" xfId="735"/>
    <cellStyle name="SUBTIT 4 3 11 2" xfId="1486"/>
    <cellStyle name="SUBTIT 4 3 11 3" xfId="2018"/>
    <cellStyle name="SUBTIT 4 3 11 4" xfId="2777"/>
    <cellStyle name="SUBTIT 4 3 12" xfId="814"/>
    <cellStyle name="SUBTIT 4 3 12 2" xfId="1565"/>
    <cellStyle name="SUBTIT 4 3 12 3" xfId="2097"/>
    <cellStyle name="SUBTIT 4 3 12 4" xfId="2856"/>
    <cellStyle name="SUBTIT 4 3 13" xfId="770"/>
    <cellStyle name="SUBTIT 4 3 13 2" xfId="1521"/>
    <cellStyle name="SUBTIT 4 3 13 3" xfId="2053"/>
    <cellStyle name="SUBTIT 4 3 13 4" xfId="2812"/>
    <cellStyle name="SUBTIT 4 3 14" xfId="851"/>
    <cellStyle name="SUBTIT 4 3 14 2" xfId="1602"/>
    <cellStyle name="SUBTIT 4 3 14 3" xfId="2134"/>
    <cellStyle name="SUBTIT 4 3 14 4" xfId="2893"/>
    <cellStyle name="SUBTIT 4 3 15" xfId="724"/>
    <cellStyle name="SUBTIT 4 3 15 2" xfId="1475"/>
    <cellStyle name="SUBTIT 4 3 15 3" xfId="2007"/>
    <cellStyle name="SUBTIT 4 3 15 4" xfId="2766"/>
    <cellStyle name="SUBTIT 4 3 16" xfId="759"/>
    <cellStyle name="SUBTIT 4 3 16 2" xfId="1510"/>
    <cellStyle name="SUBTIT 4 3 16 3" xfId="2042"/>
    <cellStyle name="SUBTIT 4 3 16 4" xfId="2801"/>
    <cellStyle name="SUBTIT 4 3 17" xfId="904"/>
    <cellStyle name="SUBTIT 4 3 17 2" xfId="1655"/>
    <cellStyle name="SUBTIT 4 3 17 3" xfId="2187"/>
    <cellStyle name="SUBTIT 4 3 17 4" xfId="2946"/>
    <cellStyle name="SUBTIT 4 3 18" xfId="924"/>
    <cellStyle name="SUBTIT 4 3 18 2" xfId="1675"/>
    <cellStyle name="SUBTIT 4 3 18 3" xfId="2207"/>
    <cellStyle name="SUBTIT 4 3 18 4" xfId="2966"/>
    <cellStyle name="SUBTIT 4 3 19" xfId="866"/>
    <cellStyle name="SUBTIT 4 3 19 2" xfId="1617"/>
    <cellStyle name="SUBTIT 4 3 19 3" xfId="2149"/>
    <cellStyle name="SUBTIT 4 3 19 4" xfId="2908"/>
    <cellStyle name="SUBTIT 4 3 2" xfId="536"/>
    <cellStyle name="SUBTIT 4 3 2 2" xfId="1289"/>
    <cellStyle name="SUBTIT 4 3 2 3" xfId="1847"/>
    <cellStyle name="SUBTIT 4 3 2 4" xfId="2578"/>
    <cellStyle name="SUBTIT 4 3 20" xfId="898"/>
    <cellStyle name="SUBTIT 4 3 20 2" xfId="1649"/>
    <cellStyle name="SUBTIT 4 3 20 3" xfId="2181"/>
    <cellStyle name="SUBTIT 4 3 20 4" xfId="2940"/>
    <cellStyle name="SUBTIT 4 3 21" xfId="791"/>
    <cellStyle name="SUBTIT 4 3 21 2" xfId="1542"/>
    <cellStyle name="SUBTIT 4 3 21 3" xfId="2074"/>
    <cellStyle name="SUBTIT 4 3 21 4" xfId="2833"/>
    <cellStyle name="SUBTIT 4 3 22" xfId="967"/>
    <cellStyle name="SUBTIT 4 3 22 2" xfId="1718"/>
    <cellStyle name="SUBTIT 4 3 22 3" xfId="2250"/>
    <cellStyle name="SUBTIT 4 3 22 4" xfId="3009"/>
    <cellStyle name="SUBTIT 4 3 23" xfId="764"/>
    <cellStyle name="SUBTIT 4 3 23 2" xfId="1515"/>
    <cellStyle name="SUBTIT 4 3 23 3" xfId="2047"/>
    <cellStyle name="SUBTIT 4 3 23 4" xfId="2806"/>
    <cellStyle name="SUBTIT 4 3 24" xfId="1079"/>
    <cellStyle name="SUBTIT 4 3 25" xfId="1739"/>
    <cellStyle name="SUBTIT 4 3 26" xfId="2358"/>
    <cellStyle name="SUBTIT 4 3 3" xfId="610"/>
    <cellStyle name="SUBTIT 4 3 3 2" xfId="1361"/>
    <cellStyle name="SUBTIT 4 3 3 3" xfId="1893"/>
    <cellStyle name="SUBTIT 4 3 3 4" xfId="2652"/>
    <cellStyle name="SUBTIT 4 3 4" xfId="646"/>
    <cellStyle name="SUBTIT 4 3 4 2" xfId="1397"/>
    <cellStyle name="SUBTIT 4 3 4 3" xfId="1929"/>
    <cellStyle name="SUBTIT 4 3 4 4" xfId="2688"/>
    <cellStyle name="SUBTIT 4 3 5" xfId="590"/>
    <cellStyle name="SUBTIT 4 3 5 2" xfId="1341"/>
    <cellStyle name="SUBTIT 4 3 5 3" xfId="1873"/>
    <cellStyle name="SUBTIT 4 3 5 4" xfId="2632"/>
    <cellStyle name="SUBTIT 4 3 6" xfId="465"/>
    <cellStyle name="SUBTIT 4 3 6 2" xfId="1223"/>
    <cellStyle name="SUBTIT 4 3 6 3" xfId="1830"/>
    <cellStyle name="SUBTIT 4 3 6 4" xfId="2507"/>
    <cellStyle name="SUBTIT 4 3 7" xfId="413"/>
    <cellStyle name="SUBTIT 4 3 7 2" xfId="1173"/>
    <cellStyle name="SUBTIT 4 3 7 3" xfId="1806"/>
    <cellStyle name="SUBTIT 4 3 7 4" xfId="2455"/>
    <cellStyle name="SUBTIT 4 3 8" xfId="642"/>
    <cellStyle name="SUBTIT 4 3 8 2" xfId="1393"/>
    <cellStyle name="SUBTIT 4 3 8 3" xfId="1925"/>
    <cellStyle name="SUBTIT 4 3 8 4" xfId="2684"/>
    <cellStyle name="SUBTIT 4 3 9" xfId="424"/>
    <cellStyle name="SUBTIT 4 3 9 2" xfId="1184"/>
    <cellStyle name="SUBTIT 4 3 9 3" xfId="1815"/>
    <cellStyle name="SUBTIT 4 3 9 4" xfId="2466"/>
    <cellStyle name="SUBTIT 4 4" xfId="452"/>
    <cellStyle name="SUBTIT 4 4 2" xfId="1210"/>
    <cellStyle name="SUBTIT 4 4 3" xfId="1819"/>
    <cellStyle name="SUBTIT 4 4 4" xfId="2494"/>
    <cellStyle name="SUBTIT 4 5" xfId="467"/>
    <cellStyle name="SUBTIT 4 5 2" xfId="1225"/>
    <cellStyle name="SUBTIT 4 5 3" xfId="1832"/>
    <cellStyle name="SUBTIT 4 5 4" xfId="2509"/>
    <cellStyle name="SUBTIT 4 6" xfId="353"/>
    <cellStyle name="SUBTIT 4 6 2" xfId="1114"/>
    <cellStyle name="SUBTIT 4 6 3" xfId="1748"/>
    <cellStyle name="SUBTIT 4 6 4" xfId="2395"/>
    <cellStyle name="SUBTIT 4 7" xfId="613"/>
    <cellStyle name="SUBTIT 4 7 2" xfId="1364"/>
    <cellStyle name="SUBTIT 4 7 3" xfId="1896"/>
    <cellStyle name="SUBTIT 4 7 4" xfId="2655"/>
    <cellStyle name="SUBTIT 4 8" xfId="355"/>
    <cellStyle name="SUBTIT 4 8 2" xfId="1116"/>
    <cellStyle name="SUBTIT 4 8 3" xfId="1750"/>
    <cellStyle name="SUBTIT 4 8 4" xfId="2397"/>
    <cellStyle name="SUBTIT 4 9" xfId="615"/>
    <cellStyle name="SUBTIT 4 9 2" xfId="1366"/>
    <cellStyle name="SUBTIT 4 9 3" xfId="1898"/>
    <cellStyle name="SUBTIT 4 9 4" xfId="2657"/>
    <cellStyle name="SUBTIT 5" xfId="200"/>
    <cellStyle name="SUBTIT 5 10" xfId="887"/>
    <cellStyle name="SUBTIT 5 10 2" xfId="1638"/>
    <cellStyle name="SUBTIT 5 10 3" xfId="2170"/>
    <cellStyle name="SUBTIT 5 10 4" xfId="2929"/>
    <cellStyle name="SUBTIT 5 11" xfId="822"/>
    <cellStyle name="SUBTIT 5 11 2" xfId="1573"/>
    <cellStyle name="SUBTIT 5 11 3" xfId="2105"/>
    <cellStyle name="SUBTIT 5 11 4" xfId="2864"/>
    <cellStyle name="SUBTIT 5 12" xfId="1011"/>
    <cellStyle name="SUBTIT 5 2" xfId="280"/>
    <cellStyle name="SUBTIT 5 2 10" xfId="757"/>
    <cellStyle name="SUBTIT 5 2 10 2" xfId="1508"/>
    <cellStyle name="SUBTIT 5 2 10 3" xfId="2040"/>
    <cellStyle name="SUBTIT 5 2 10 4" xfId="2799"/>
    <cellStyle name="SUBTIT 5 2 11" xfId="382"/>
    <cellStyle name="SUBTIT 5 2 11 2" xfId="1142"/>
    <cellStyle name="SUBTIT 5 2 11 3" xfId="1775"/>
    <cellStyle name="SUBTIT 5 2 11 4" xfId="2424"/>
    <cellStyle name="SUBTIT 5 2 12" xfId="732"/>
    <cellStyle name="SUBTIT 5 2 12 2" xfId="1483"/>
    <cellStyle name="SUBTIT 5 2 12 3" xfId="2015"/>
    <cellStyle name="SUBTIT 5 2 12 4" xfId="2774"/>
    <cellStyle name="SUBTIT 5 2 13" xfId="842"/>
    <cellStyle name="SUBTIT 5 2 13 2" xfId="1593"/>
    <cellStyle name="SUBTIT 5 2 13 3" xfId="2125"/>
    <cellStyle name="SUBTIT 5 2 13 4" xfId="2884"/>
    <cellStyle name="SUBTIT 5 2 14" xfId="767"/>
    <cellStyle name="SUBTIT 5 2 14 2" xfId="1518"/>
    <cellStyle name="SUBTIT 5 2 14 3" xfId="2050"/>
    <cellStyle name="SUBTIT 5 2 14 4" xfId="2809"/>
    <cellStyle name="SUBTIT 5 2 15" xfId="894"/>
    <cellStyle name="SUBTIT 5 2 15 2" xfId="1645"/>
    <cellStyle name="SUBTIT 5 2 15 3" xfId="2177"/>
    <cellStyle name="SUBTIT 5 2 15 4" xfId="2936"/>
    <cellStyle name="SUBTIT 5 2 16" xfId="852"/>
    <cellStyle name="SUBTIT 5 2 16 2" xfId="1603"/>
    <cellStyle name="SUBTIT 5 2 16 3" xfId="2135"/>
    <cellStyle name="SUBTIT 5 2 16 4" xfId="2894"/>
    <cellStyle name="SUBTIT 5 2 17" xfId="870"/>
    <cellStyle name="SUBTIT 5 2 17 2" xfId="1621"/>
    <cellStyle name="SUBTIT 5 2 17 3" xfId="2153"/>
    <cellStyle name="SUBTIT 5 2 17 4" xfId="2912"/>
    <cellStyle name="SUBTIT 5 2 18" xfId="1047"/>
    <cellStyle name="SUBTIT 5 2 2" xfId="350"/>
    <cellStyle name="SUBTIT 5 2 2 10" xfId="788"/>
    <cellStyle name="SUBTIT 5 2 2 10 2" xfId="1539"/>
    <cellStyle name="SUBTIT 5 2 2 10 3" xfId="2071"/>
    <cellStyle name="SUBTIT 5 2 2 10 4" xfId="2830"/>
    <cellStyle name="SUBTIT 5 2 2 11" xfId="801"/>
    <cellStyle name="SUBTIT 5 2 2 11 2" xfId="1552"/>
    <cellStyle name="SUBTIT 5 2 2 11 3" xfId="2084"/>
    <cellStyle name="SUBTIT 5 2 2 11 4" xfId="2843"/>
    <cellStyle name="SUBTIT 5 2 2 12" xfId="829"/>
    <cellStyle name="SUBTIT 5 2 2 12 2" xfId="1580"/>
    <cellStyle name="SUBTIT 5 2 2 12 3" xfId="2112"/>
    <cellStyle name="SUBTIT 5 2 2 12 4" xfId="2871"/>
    <cellStyle name="SUBTIT 5 2 2 13" xfId="838"/>
    <cellStyle name="SUBTIT 5 2 2 13 2" xfId="1589"/>
    <cellStyle name="SUBTIT 5 2 2 13 3" xfId="2121"/>
    <cellStyle name="SUBTIT 5 2 2 13 4" xfId="2880"/>
    <cellStyle name="SUBTIT 5 2 2 14" xfId="864"/>
    <cellStyle name="SUBTIT 5 2 2 14 2" xfId="1615"/>
    <cellStyle name="SUBTIT 5 2 2 14 3" xfId="2147"/>
    <cellStyle name="SUBTIT 5 2 2 14 4" xfId="2906"/>
    <cellStyle name="SUBTIT 5 2 2 15" xfId="875"/>
    <cellStyle name="SUBTIT 5 2 2 15 2" xfId="1626"/>
    <cellStyle name="SUBTIT 5 2 2 15 3" xfId="2158"/>
    <cellStyle name="SUBTIT 5 2 2 15 4" xfId="2917"/>
    <cellStyle name="SUBTIT 5 2 2 16" xfId="882"/>
    <cellStyle name="SUBTIT 5 2 2 16 2" xfId="1633"/>
    <cellStyle name="SUBTIT 5 2 2 16 3" xfId="2165"/>
    <cellStyle name="SUBTIT 5 2 2 16 4" xfId="2924"/>
    <cellStyle name="SUBTIT 5 2 2 17" xfId="912"/>
    <cellStyle name="SUBTIT 5 2 2 17 2" xfId="1663"/>
    <cellStyle name="SUBTIT 5 2 2 17 3" xfId="2195"/>
    <cellStyle name="SUBTIT 5 2 2 17 4" xfId="2954"/>
    <cellStyle name="SUBTIT 5 2 2 18" xfId="934"/>
    <cellStyle name="SUBTIT 5 2 2 18 2" xfId="1685"/>
    <cellStyle name="SUBTIT 5 2 2 18 3" xfId="2217"/>
    <cellStyle name="SUBTIT 5 2 2 18 4" xfId="2976"/>
    <cellStyle name="SUBTIT 5 2 2 19" xfId="946"/>
    <cellStyle name="SUBTIT 5 2 2 19 2" xfId="1697"/>
    <cellStyle name="SUBTIT 5 2 2 19 3" xfId="2229"/>
    <cellStyle name="SUBTIT 5 2 2 19 4" xfId="2988"/>
    <cellStyle name="SUBTIT 5 2 2 2" xfId="571"/>
    <cellStyle name="SUBTIT 5 2 2 2 2" xfId="1322"/>
    <cellStyle name="SUBTIT 5 2 2 2 3" xfId="1854"/>
    <cellStyle name="SUBTIT 5 2 2 2 4" xfId="2613"/>
    <cellStyle name="SUBTIT 5 2 2 20" xfId="954"/>
    <cellStyle name="SUBTIT 5 2 2 20 2" xfId="1705"/>
    <cellStyle name="SUBTIT 5 2 2 20 3" xfId="2237"/>
    <cellStyle name="SUBTIT 5 2 2 20 4" xfId="2996"/>
    <cellStyle name="SUBTIT 5 2 2 21" xfId="961"/>
    <cellStyle name="SUBTIT 5 2 2 21 2" xfId="1712"/>
    <cellStyle name="SUBTIT 5 2 2 21 3" xfId="2244"/>
    <cellStyle name="SUBTIT 5 2 2 21 4" xfId="3003"/>
    <cellStyle name="SUBTIT 5 2 2 22" xfId="974"/>
    <cellStyle name="SUBTIT 5 2 2 22 2" xfId="1725"/>
    <cellStyle name="SUBTIT 5 2 2 22 3" xfId="2257"/>
    <cellStyle name="SUBTIT 5 2 2 22 4" xfId="3016"/>
    <cellStyle name="SUBTIT 5 2 2 23" xfId="981"/>
    <cellStyle name="SUBTIT 5 2 2 23 2" xfId="1732"/>
    <cellStyle name="SUBTIT 5 2 2 23 3" xfId="2264"/>
    <cellStyle name="SUBTIT 5 2 2 23 4" xfId="3023"/>
    <cellStyle name="SUBTIT 5 2 2 24" xfId="1112"/>
    <cellStyle name="SUBTIT 5 2 2 25" xfId="1746"/>
    <cellStyle name="SUBTIT 5 2 2 26" xfId="2393"/>
    <cellStyle name="SUBTIT 5 2 2 3" xfId="621"/>
    <cellStyle name="SUBTIT 5 2 2 3 2" xfId="1372"/>
    <cellStyle name="SUBTIT 5 2 2 3 3" xfId="1904"/>
    <cellStyle name="SUBTIT 5 2 2 3 4" xfId="2663"/>
    <cellStyle name="SUBTIT 5 2 2 4" xfId="662"/>
    <cellStyle name="SUBTIT 5 2 2 4 2" xfId="1413"/>
    <cellStyle name="SUBTIT 5 2 2 4 3" xfId="1945"/>
    <cellStyle name="SUBTIT 5 2 2 4 4" xfId="2704"/>
    <cellStyle name="SUBTIT 5 2 2 5" xfId="674"/>
    <cellStyle name="SUBTIT 5 2 2 5 2" xfId="1425"/>
    <cellStyle name="SUBTIT 5 2 2 5 3" xfId="1957"/>
    <cellStyle name="SUBTIT 5 2 2 5 4" xfId="2716"/>
    <cellStyle name="SUBTIT 5 2 2 6" xfId="687"/>
    <cellStyle name="SUBTIT 5 2 2 6 2" xfId="1438"/>
    <cellStyle name="SUBTIT 5 2 2 6 3" xfId="1970"/>
    <cellStyle name="SUBTIT 5 2 2 6 4" xfId="2729"/>
    <cellStyle name="SUBTIT 5 2 2 7" xfId="700"/>
    <cellStyle name="SUBTIT 5 2 2 7 2" xfId="1451"/>
    <cellStyle name="SUBTIT 5 2 2 7 3" xfId="1983"/>
    <cellStyle name="SUBTIT 5 2 2 7 4" xfId="2742"/>
    <cellStyle name="SUBTIT 5 2 2 8" xfId="711"/>
    <cellStyle name="SUBTIT 5 2 2 8 2" xfId="1462"/>
    <cellStyle name="SUBTIT 5 2 2 8 3" xfId="1994"/>
    <cellStyle name="SUBTIT 5 2 2 8 4" xfId="2753"/>
    <cellStyle name="SUBTIT 5 2 2 9" xfId="719"/>
    <cellStyle name="SUBTIT 5 2 2 9 2" xfId="1470"/>
    <cellStyle name="SUBTIT 5 2 2 9 3" xfId="2002"/>
    <cellStyle name="SUBTIT 5 2 2 9 4" xfId="2761"/>
    <cellStyle name="SUBTIT 5 2 3" xfId="501"/>
    <cellStyle name="SUBTIT 5 2 3 2" xfId="1257"/>
    <cellStyle name="SUBTIT 5 2 3 3" xfId="1840"/>
    <cellStyle name="SUBTIT 5 2 3 4" xfId="2543"/>
    <cellStyle name="SUBTIT 5 2 4" xfId="630"/>
    <cellStyle name="SUBTIT 5 2 4 2" xfId="1381"/>
    <cellStyle name="SUBTIT 5 2 4 3" xfId="1913"/>
    <cellStyle name="SUBTIT 5 2 4 4" xfId="2672"/>
    <cellStyle name="SUBTIT 5 2 5" xfId="416"/>
    <cellStyle name="SUBTIT 5 2 5 2" xfId="1176"/>
    <cellStyle name="SUBTIT 5 2 5 3" xfId="1809"/>
    <cellStyle name="SUBTIT 5 2 5 4" xfId="2458"/>
    <cellStyle name="SUBTIT 5 2 6" xfId="411"/>
    <cellStyle name="SUBTIT 5 2 6 2" xfId="1171"/>
    <cellStyle name="SUBTIT 5 2 6 3" xfId="1804"/>
    <cellStyle name="SUBTIT 5 2 6 4" xfId="2453"/>
    <cellStyle name="SUBTIT 5 2 7" xfId="599"/>
    <cellStyle name="SUBTIT 5 2 7 2" xfId="1350"/>
    <cellStyle name="SUBTIT 5 2 7 3" xfId="1882"/>
    <cellStyle name="SUBTIT 5 2 7 4" xfId="2641"/>
    <cellStyle name="SUBTIT 5 2 8" xfId="683"/>
    <cellStyle name="SUBTIT 5 2 8 2" xfId="1434"/>
    <cellStyle name="SUBTIT 5 2 8 3" xfId="1966"/>
    <cellStyle name="SUBTIT 5 2 8 4" xfId="2725"/>
    <cellStyle name="SUBTIT 5 2 9" xfId="694"/>
    <cellStyle name="SUBTIT 5 2 9 2" xfId="1445"/>
    <cellStyle name="SUBTIT 5 2 9 3" xfId="1977"/>
    <cellStyle name="SUBTIT 5 2 9 4" xfId="2736"/>
    <cellStyle name="SUBTIT 5 3" xfId="311"/>
    <cellStyle name="SUBTIT 5 3 10" xfId="772"/>
    <cellStyle name="SUBTIT 5 3 10 2" xfId="1523"/>
    <cellStyle name="SUBTIT 5 3 10 3" xfId="2055"/>
    <cellStyle name="SUBTIT 5 3 10 4" xfId="2814"/>
    <cellStyle name="SUBTIT 5 3 11" xfId="741"/>
    <cellStyle name="SUBTIT 5 3 11 2" xfId="1492"/>
    <cellStyle name="SUBTIT 5 3 11 3" xfId="2024"/>
    <cellStyle name="SUBTIT 5 3 11 4" xfId="2783"/>
    <cellStyle name="SUBTIT 5 3 12" xfId="811"/>
    <cellStyle name="SUBTIT 5 3 12 2" xfId="1562"/>
    <cellStyle name="SUBTIT 5 3 12 3" xfId="2094"/>
    <cellStyle name="SUBTIT 5 3 12 4" xfId="2853"/>
    <cellStyle name="SUBTIT 5 3 13" xfId="768"/>
    <cellStyle name="SUBTIT 5 3 13 2" xfId="1519"/>
    <cellStyle name="SUBTIT 5 3 13 3" xfId="2051"/>
    <cellStyle name="SUBTIT 5 3 13 4" xfId="2810"/>
    <cellStyle name="SUBTIT 5 3 14" xfId="849"/>
    <cellStyle name="SUBTIT 5 3 14 2" xfId="1600"/>
    <cellStyle name="SUBTIT 5 3 14 3" xfId="2132"/>
    <cellStyle name="SUBTIT 5 3 14 4" xfId="2891"/>
    <cellStyle name="SUBTIT 5 3 15" xfId="682"/>
    <cellStyle name="SUBTIT 5 3 15 2" xfId="1433"/>
    <cellStyle name="SUBTIT 5 3 15 3" xfId="1965"/>
    <cellStyle name="SUBTIT 5 3 15 4" xfId="2724"/>
    <cellStyle name="SUBTIT 5 3 16" xfId="706"/>
    <cellStyle name="SUBTIT 5 3 16 2" xfId="1457"/>
    <cellStyle name="SUBTIT 5 3 16 3" xfId="1989"/>
    <cellStyle name="SUBTIT 5 3 16 4" xfId="2748"/>
    <cellStyle name="SUBTIT 5 3 17" xfId="902"/>
    <cellStyle name="SUBTIT 5 3 17 2" xfId="1653"/>
    <cellStyle name="SUBTIT 5 3 17 3" xfId="2185"/>
    <cellStyle name="SUBTIT 5 3 17 4" xfId="2944"/>
    <cellStyle name="SUBTIT 5 3 18" xfId="921"/>
    <cellStyle name="SUBTIT 5 3 18 2" xfId="1672"/>
    <cellStyle name="SUBTIT 5 3 18 3" xfId="2204"/>
    <cellStyle name="SUBTIT 5 3 18 4" xfId="2963"/>
    <cellStyle name="SUBTIT 5 3 19" xfId="580"/>
    <cellStyle name="SUBTIT 5 3 19 2" xfId="1331"/>
    <cellStyle name="SUBTIT 5 3 19 3" xfId="1863"/>
    <cellStyle name="SUBTIT 5 3 19 4" xfId="2622"/>
    <cellStyle name="SUBTIT 5 3 2" xfId="532"/>
    <cellStyle name="SUBTIT 5 3 2 2" xfId="1286"/>
    <cellStyle name="SUBTIT 5 3 2 3" xfId="1845"/>
    <cellStyle name="SUBTIT 5 3 2 4" xfId="2574"/>
    <cellStyle name="SUBTIT 5 3 20" xfId="907"/>
    <cellStyle name="SUBTIT 5 3 20 2" xfId="1658"/>
    <cellStyle name="SUBTIT 5 3 20 3" xfId="2190"/>
    <cellStyle name="SUBTIT 5 3 20 4" xfId="2949"/>
    <cellStyle name="SUBTIT 5 3 21" xfId="794"/>
    <cellStyle name="SUBTIT 5 3 21 2" xfId="1545"/>
    <cellStyle name="SUBTIT 5 3 21 3" xfId="2077"/>
    <cellStyle name="SUBTIT 5 3 21 4" xfId="2836"/>
    <cellStyle name="SUBTIT 5 3 22" xfId="965"/>
    <cellStyle name="SUBTIT 5 3 22 2" xfId="1716"/>
    <cellStyle name="SUBTIT 5 3 22 3" xfId="2248"/>
    <cellStyle name="SUBTIT 5 3 22 4" xfId="3007"/>
    <cellStyle name="SUBTIT 5 3 23" xfId="859"/>
    <cellStyle name="SUBTIT 5 3 23 2" xfId="1610"/>
    <cellStyle name="SUBTIT 5 3 23 3" xfId="2142"/>
    <cellStyle name="SUBTIT 5 3 23 4" xfId="2901"/>
    <cellStyle name="SUBTIT 5 3 24" xfId="1076"/>
    <cellStyle name="SUBTIT 5 3 25" xfId="1737"/>
    <cellStyle name="SUBTIT 5 3 26" xfId="2354"/>
    <cellStyle name="SUBTIT 5 3 3" xfId="607"/>
    <cellStyle name="SUBTIT 5 3 3 2" xfId="1358"/>
    <cellStyle name="SUBTIT 5 3 3 3" xfId="1890"/>
    <cellStyle name="SUBTIT 5 3 3 4" xfId="2649"/>
    <cellStyle name="SUBTIT 5 3 4" xfId="644"/>
    <cellStyle name="SUBTIT 5 3 4 2" xfId="1395"/>
    <cellStyle name="SUBTIT 5 3 4 3" xfId="1927"/>
    <cellStyle name="SUBTIT 5 3 4 4" xfId="2686"/>
    <cellStyle name="SUBTIT 5 3 5" xfId="374"/>
    <cellStyle name="SUBTIT 5 3 5 2" xfId="1134"/>
    <cellStyle name="SUBTIT 5 3 5 3" xfId="1767"/>
    <cellStyle name="SUBTIT 5 3 5 4" xfId="2416"/>
    <cellStyle name="SUBTIT 5 3 6" xfId="669"/>
    <cellStyle name="SUBTIT 5 3 6 2" xfId="1420"/>
    <cellStyle name="SUBTIT 5 3 6 3" xfId="1952"/>
    <cellStyle name="SUBTIT 5 3 6 4" xfId="2711"/>
    <cellStyle name="SUBTIT 5 3 7" xfId="589"/>
    <cellStyle name="SUBTIT 5 3 7 2" xfId="1340"/>
    <cellStyle name="SUBTIT 5 3 7 3" xfId="1872"/>
    <cellStyle name="SUBTIT 5 3 7 4" xfId="2631"/>
    <cellStyle name="SUBTIT 5 3 8" xfId="405"/>
    <cellStyle name="SUBTIT 5 3 8 2" xfId="1165"/>
    <cellStyle name="SUBTIT 5 3 8 3" xfId="1798"/>
    <cellStyle name="SUBTIT 5 3 8 4" xfId="2447"/>
    <cellStyle name="SUBTIT 5 3 9" xfId="654"/>
    <cellStyle name="SUBTIT 5 3 9 2" xfId="1405"/>
    <cellStyle name="SUBTIT 5 3 9 3" xfId="1937"/>
    <cellStyle name="SUBTIT 5 3 9 4" xfId="2696"/>
    <cellStyle name="SUBTIT 5 4" xfId="387"/>
    <cellStyle name="SUBTIT 5 4 2" xfId="1147"/>
    <cellStyle name="SUBTIT 5 4 3" xfId="1780"/>
    <cellStyle name="SUBTIT 5 4 4" xfId="2429"/>
    <cellStyle name="SUBTIT 5 5" xfId="685"/>
    <cellStyle name="SUBTIT 5 5 2" xfId="1436"/>
    <cellStyle name="SUBTIT 5 5 3" xfId="1968"/>
    <cellStyle name="SUBTIT 5 5 4" xfId="2727"/>
    <cellStyle name="SUBTIT 5 6" xfId="466"/>
    <cellStyle name="SUBTIT 5 6 2" xfId="1224"/>
    <cellStyle name="SUBTIT 5 6 3" xfId="1831"/>
    <cellStyle name="SUBTIT 5 6 4" xfId="2508"/>
    <cellStyle name="SUBTIT 5 7" xfId="730"/>
    <cellStyle name="SUBTIT 5 7 2" xfId="1481"/>
    <cellStyle name="SUBTIT 5 7 3" xfId="2013"/>
    <cellStyle name="SUBTIT 5 7 4" xfId="2772"/>
    <cellStyle name="SUBTIT 5 8" xfId="396"/>
    <cellStyle name="SUBTIT 5 8 2" xfId="1156"/>
    <cellStyle name="SUBTIT 5 8 3" xfId="1789"/>
    <cellStyle name="SUBTIT 5 8 4" xfId="2438"/>
    <cellStyle name="SUBTIT 5 9" xfId="763"/>
    <cellStyle name="SUBTIT 5 9 2" xfId="1514"/>
    <cellStyle name="SUBTIT 5 9 3" xfId="2046"/>
    <cellStyle name="SUBTIT 5 9 4" xfId="2805"/>
    <cellStyle name="SUBTIT 6" xfId="203"/>
    <cellStyle name="SUBTIT 6 10" xfId="692"/>
    <cellStyle name="SUBTIT 6 10 2" xfId="1443"/>
    <cellStyle name="SUBTIT 6 10 3" xfId="1975"/>
    <cellStyle name="SUBTIT 6 10 4" xfId="2734"/>
    <cellStyle name="SUBTIT 6 11" xfId="728"/>
    <cellStyle name="SUBTIT 6 11 2" xfId="1479"/>
    <cellStyle name="SUBTIT 6 11 3" xfId="2011"/>
    <cellStyle name="SUBTIT 6 11 4" xfId="2770"/>
    <cellStyle name="SUBTIT 6 12" xfId="392"/>
    <cellStyle name="SUBTIT 6 12 2" xfId="1152"/>
    <cellStyle name="SUBTIT 6 12 3" xfId="1785"/>
    <cellStyle name="SUBTIT 6 12 4" xfId="2434"/>
    <cellStyle name="SUBTIT 6 13" xfId="793"/>
    <cellStyle name="SUBTIT 6 13 2" xfId="1544"/>
    <cellStyle name="SUBTIT 6 13 3" xfId="2076"/>
    <cellStyle name="SUBTIT 6 13 4" xfId="2835"/>
    <cellStyle name="SUBTIT 6 14" xfId="812"/>
    <cellStyle name="SUBTIT 6 14 2" xfId="1563"/>
    <cellStyle name="SUBTIT 6 14 3" xfId="2095"/>
    <cellStyle name="SUBTIT 6 14 4" xfId="2854"/>
    <cellStyle name="SUBTIT 6 15" xfId="588"/>
    <cellStyle name="SUBTIT 6 15 2" xfId="1339"/>
    <cellStyle name="SUBTIT 6 15 3" xfId="1871"/>
    <cellStyle name="SUBTIT 6 15 4" xfId="2630"/>
    <cellStyle name="SUBTIT 6 16" xfId="805"/>
    <cellStyle name="SUBTIT 6 16 2" xfId="1556"/>
    <cellStyle name="SUBTIT 6 16 3" xfId="2088"/>
    <cellStyle name="SUBTIT 6 16 4" xfId="2847"/>
    <cellStyle name="SUBTIT 6 17" xfId="792"/>
    <cellStyle name="SUBTIT 6 17 2" xfId="1543"/>
    <cellStyle name="SUBTIT 6 17 3" xfId="2075"/>
    <cellStyle name="SUBTIT 6 17 4" xfId="2834"/>
    <cellStyle name="SUBTIT 6 18" xfId="926"/>
    <cellStyle name="SUBTIT 6 18 2" xfId="1677"/>
    <cellStyle name="SUBTIT 6 18 3" xfId="2209"/>
    <cellStyle name="SUBTIT 6 18 4" xfId="2968"/>
    <cellStyle name="SUBTIT 6 19" xfId="1013"/>
    <cellStyle name="SUBTIT 6 2" xfId="281"/>
    <cellStyle name="SUBTIT 6 2 10" xfId="758"/>
    <cellStyle name="SUBTIT 6 2 10 2" xfId="1509"/>
    <cellStyle name="SUBTIT 6 2 10 3" xfId="2041"/>
    <cellStyle name="SUBTIT 6 2 10 4" xfId="2800"/>
    <cellStyle name="SUBTIT 6 2 11" xfId="647"/>
    <cellStyle name="SUBTIT 6 2 11 2" xfId="1398"/>
    <cellStyle name="SUBTIT 6 2 11 3" xfId="1930"/>
    <cellStyle name="SUBTIT 6 2 11 4" xfId="2689"/>
    <cellStyle name="SUBTIT 6 2 12" xfId="738"/>
    <cellStyle name="SUBTIT 6 2 12 2" xfId="1489"/>
    <cellStyle name="SUBTIT 6 2 12 3" xfId="2021"/>
    <cellStyle name="SUBTIT 6 2 12 4" xfId="2780"/>
    <cellStyle name="SUBTIT 6 2 13" xfId="843"/>
    <cellStyle name="SUBTIT 6 2 13 2" xfId="1594"/>
    <cellStyle name="SUBTIT 6 2 13 3" xfId="2126"/>
    <cellStyle name="SUBTIT 6 2 13 4" xfId="2885"/>
    <cellStyle name="SUBTIT 6 2 14" xfId="776"/>
    <cellStyle name="SUBTIT 6 2 14 2" xfId="1527"/>
    <cellStyle name="SUBTIT 6 2 14 3" xfId="2059"/>
    <cellStyle name="SUBTIT 6 2 14 4" xfId="2818"/>
    <cellStyle name="SUBTIT 6 2 15" xfId="895"/>
    <cellStyle name="SUBTIT 6 2 15 2" xfId="1646"/>
    <cellStyle name="SUBTIT 6 2 15 3" xfId="2178"/>
    <cellStyle name="SUBTIT 6 2 15 4" xfId="2937"/>
    <cellStyle name="SUBTIT 6 2 16" xfId="914"/>
    <cellStyle name="SUBTIT 6 2 16 2" xfId="1665"/>
    <cellStyle name="SUBTIT 6 2 16 3" xfId="2197"/>
    <cellStyle name="SUBTIT 6 2 16 4" xfId="2956"/>
    <cellStyle name="SUBTIT 6 2 17" xfId="750"/>
    <cellStyle name="SUBTIT 6 2 17 2" xfId="1501"/>
    <cellStyle name="SUBTIT 6 2 17 3" xfId="2033"/>
    <cellStyle name="SUBTIT 6 2 17 4" xfId="2792"/>
    <cellStyle name="SUBTIT 6 2 18" xfId="1048"/>
    <cellStyle name="SUBTIT 6 2 2" xfId="351"/>
    <cellStyle name="SUBTIT 6 2 2 10" xfId="789"/>
    <cellStyle name="SUBTIT 6 2 2 10 2" xfId="1540"/>
    <cellStyle name="SUBTIT 6 2 2 10 3" xfId="2072"/>
    <cellStyle name="SUBTIT 6 2 2 10 4" xfId="2831"/>
    <cellStyle name="SUBTIT 6 2 2 11" xfId="802"/>
    <cellStyle name="SUBTIT 6 2 2 11 2" xfId="1553"/>
    <cellStyle name="SUBTIT 6 2 2 11 3" xfId="2085"/>
    <cellStyle name="SUBTIT 6 2 2 11 4" xfId="2844"/>
    <cellStyle name="SUBTIT 6 2 2 12" xfId="830"/>
    <cellStyle name="SUBTIT 6 2 2 12 2" xfId="1581"/>
    <cellStyle name="SUBTIT 6 2 2 12 3" xfId="2113"/>
    <cellStyle name="SUBTIT 6 2 2 12 4" xfId="2872"/>
    <cellStyle name="SUBTIT 6 2 2 13" xfId="839"/>
    <cellStyle name="SUBTIT 6 2 2 13 2" xfId="1590"/>
    <cellStyle name="SUBTIT 6 2 2 13 3" xfId="2122"/>
    <cellStyle name="SUBTIT 6 2 2 13 4" xfId="2881"/>
    <cellStyle name="SUBTIT 6 2 2 14" xfId="865"/>
    <cellStyle name="SUBTIT 6 2 2 14 2" xfId="1616"/>
    <cellStyle name="SUBTIT 6 2 2 14 3" xfId="2148"/>
    <cellStyle name="SUBTIT 6 2 2 14 4" xfId="2907"/>
    <cellStyle name="SUBTIT 6 2 2 15" xfId="876"/>
    <cellStyle name="SUBTIT 6 2 2 15 2" xfId="1627"/>
    <cellStyle name="SUBTIT 6 2 2 15 3" xfId="2159"/>
    <cellStyle name="SUBTIT 6 2 2 15 4" xfId="2918"/>
    <cellStyle name="SUBTIT 6 2 2 16" xfId="883"/>
    <cellStyle name="SUBTIT 6 2 2 16 2" xfId="1634"/>
    <cellStyle name="SUBTIT 6 2 2 16 3" xfId="2166"/>
    <cellStyle name="SUBTIT 6 2 2 16 4" xfId="2925"/>
    <cellStyle name="SUBTIT 6 2 2 17" xfId="913"/>
    <cellStyle name="SUBTIT 6 2 2 17 2" xfId="1664"/>
    <cellStyle name="SUBTIT 6 2 2 17 3" xfId="2196"/>
    <cellStyle name="SUBTIT 6 2 2 17 4" xfId="2955"/>
    <cellStyle name="SUBTIT 6 2 2 18" xfId="935"/>
    <cellStyle name="SUBTIT 6 2 2 18 2" xfId="1686"/>
    <cellStyle name="SUBTIT 6 2 2 18 3" xfId="2218"/>
    <cellStyle name="SUBTIT 6 2 2 18 4" xfId="2977"/>
    <cellStyle name="SUBTIT 6 2 2 19" xfId="947"/>
    <cellStyle name="SUBTIT 6 2 2 19 2" xfId="1698"/>
    <cellStyle name="SUBTIT 6 2 2 19 3" xfId="2230"/>
    <cellStyle name="SUBTIT 6 2 2 19 4" xfId="2989"/>
    <cellStyle name="SUBTIT 6 2 2 2" xfId="572"/>
    <cellStyle name="SUBTIT 6 2 2 2 2" xfId="1323"/>
    <cellStyle name="SUBTIT 6 2 2 2 3" xfId="1855"/>
    <cellStyle name="SUBTIT 6 2 2 2 4" xfId="2614"/>
    <cellStyle name="SUBTIT 6 2 2 20" xfId="955"/>
    <cellStyle name="SUBTIT 6 2 2 20 2" xfId="1706"/>
    <cellStyle name="SUBTIT 6 2 2 20 3" xfId="2238"/>
    <cellStyle name="SUBTIT 6 2 2 20 4" xfId="2997"/>
    <cellStyle name="SUBTIT 6 2 2 21" xfId="962"/>
    <cellStyle name="SUBTIT 6 2 2 21 2" xfId="1713"/>
    <cellStyle name="SUBTIT 6 2 2 21 3" xfId="2245"/>
    <cellStyle name="SUBTIT 6 2 2 21 4" xfId="3004"/>
    <cellStyle name="SUBTIT 6 2 2 22" xfId="975"/>
    <cellStyle name="SUBTIT 6 2 2 22 2" xfId="1726"/>
    <cellStyle name="SUBTIT 6 2 2 22 3" xfId="2258"/>
    <cellStyle name="SUBTIT 6 2 2 22 4" xfId="3017"/>
    <cellStyle name="SUBTIT 6 2 2 23" xfId="982"/>
    <cellStyle name="SUBTIT 6 2 2 23 2" xfId="1733"/>
    <cellStyle name="SUBTIT 6 2 2 23 3" xfId="2265"/>
    <cellStyle name="SUBTIT 6 2 2 23 4" xfId="3024"/>
    <cellStyle name="SUBTIT 6 2 2 24" xfId="1113"/>
    <cellStyle name="SUBTIT 6 2 2 25" xfId="1747"/>
    <cellStyle name="SUBTIT 6 2 2 26" xfId="2394"/>
    <cellStyle name="SUBTIT 6 2 2 3" xfId="622"/>
    <cellStyle name="SUBTIT 6 2 2 3 2" xfId="1373"/>
    <cellStyle name="SUBTIT 6 2 2 3 3" xfId="1905"/>
    <cellStyle name="SUBTIT 6 2 2 3 4" xfId="2664"/>
    <cellStyle name="SUBTIT 6 2 2 4" xfId="663"/>
    <cellStyle name="SUBTIT 6 2 2 4 2" xfId="1414"/>
    <cellStyle name="SUBTIT 6 2 2 4 3" xfId="1946"/>
    <cellStyle name="SUBTIT 6 2 2 4 4" xfId="2705"/>
    <cellStyle name="SUBTIT 6 2 2 5" xfId="675"/>
    <cellStyle name="SUBTIT 6 2 2 5 2" xfId="1426"/>
    <cellStyle name="SUBTIT 6 2 2 5 3" xfId="1958"/>
    <cellStyle name="SUBTIT 6 2 2 5 4" xfId="2717"/>
    <cellStyle name="SUBTIT 6 2 2 6" xfId="688"/>
    <cellStyle name="SUBTIT 6 2 2 6 2" xfId="1439"/>
    <cellStyle name="SUBTIT 6 2 2 6 3" xfId="1971"/>
    <cellStyle name="SUBTIT 6 2 2 6 4" xfId="2730"/>
    <cellStyle name="SUBTIT 6 2 2 7" xfId="701"/>
    <cellStyle name="SUBTIT 6 2 2 7 2" xfId="1452"/>
    <cellStyle name="SUBTIT 6 2 2 7 3" xfId="1984"/>
    <cellStyle name="SUBTIT 6 2 2 7 4" xfId="2743"/>
    <cellStyle name="SUBTIT 6 2 2 8" xfId="712"/>
    <cellStyle name="SUBTIT 6 2 2 8 2" xfId="1463"/>
    <cellStyle name="SUBTIT 6 2 2 8 3" xfId="1995"/>
    <cellStyle name="SUBTIT 6 2 2 8 4" xfId="2754"/>
    <cellStyle name="SUBTIT 6 2 2 9" xfId="720"/>
    <cellStyle name="SUBTIT 6 2 2 9 2" xfId="1471"/>
    <cellStyle name="SUBTIT 6 2 2 9 3" xfId="2003"/>
    <cellStyle name="SUBTIT 6 2 2 9 4" xfId="2762"/>
    <cellStyle name="SUBTIT 6 2 3" xfId="502"/>
    <cellStyle name="SUBTIT 6 2 3 2" xfId="1258"/>
    <cellStyle name="SUBTIT 6 2 3 3" xfId="1841"/>
    <cellStyle name="SUBTIT 6 2 3 4" xfId="2544"/>
    <cellStyle name="SUBTIT 6 2 4" xfId="631"/>
    <cellStyle name="SUBTIT 6 2 4 2" xfId="1382"/>
    <cellStyle name="SUBTIT 6 2 4 3" xfId="1914"/>
    <cellStyle name="SUBTIT 6 2 4 4" xfId="2673"/>
    <cellStyle name="SUBTIT 6 2 5" xfId="415"/>
    <cellStyle name="SUBTIT 6 2 5 2" xfId="1175"/>
    <cellStyle name="SUBTIT 6 2 5 3" xfId="1808"/>
    <cellStyle name="SUBTIT 6 2 5 4" xfId="2457"/>
    <cellStyle name="SUBTIT 6 2 6" xfId="462"/>
    <cellStyle name="SUBTIT 6 2 6 2" xfId="1220"/>
    <cellStyle name="SUBTIT 6 2 6 3" xfId="1827"/>
    <cellStyle name="SUBTIT 6 2 6 4" xfId="2504"/>
    <cellStyle name="SUBTIT 6 2 7" xfId="593"/>
    <cellStyle name="SUBTIT 6 2 7 2" xfId="1344"/>
    <cellStyle name="SUBTIT 6 2 7 3" xfId="1876"/>
    <cellStyle name="SUBTIT 6 2 7 4" xfId="2635"/>
    <cellStyle name="SUBTIT 6 2 8" xfId="397"/>
    <cellStyle name="SUBTIT 6 2 8 2" xfId="1157"/>
    <cellStyle name="SUBTIT 6 2 8 3" xfId="1790"/>
    <cellStyle name="SUBTIT 6 2 8 4" xfId="2439"/>
    <cellStyle name="SUBTIT 6 2 9" xfId="667"/>
    <cellStyle name="SUBTIT 6 2 9 2" xfId="1418"/>
    <cellStyle name="SUBTIT 6 2 9 3" xfId="1950"/>
    <cellStyle name="SUBTIT 6 2 9 4" xfId="2709"/>
    <cellStyle name="SUBTIT 6 3" xfId="314"/>
    <cellStyle name="SUBTIT 6 3 10" xfId="773"/>
    <cellStyle name="SUBTIT 6 3 10 2" xfId="1524"/>
    <cellStyle name="SUBTIT 6 3 10 3" xfId="2056"/>
    <cellStyle name="SUBTIT 6 3 10 4" xfId="2815"/>
    <cellStyle name="SUBTIT 6 3 11" xfId="737"/>
    <cellStyle name="SUBTIT 6 3 11 2" xfId="1488"/>
    <cellStyle name="SUBTIT 6 3 11 3" xfId="2020"/>
    <cellStyle name="SUBTIT 6 3 11 4" xfId="2779"/>
    <cellStyle name="SUBTIT 6 3 12" xfId="813"/>
    <cellStyle name="SUBTIT 6 3 12 2" xfId="1564"/>
    <cellStyle name="SUBTIT 6 3 12 3" xfId="2096"/>
    <cellStyle name="SUBTIT 6 3 12 4" xfId="2855"/>
    <cellStyle name="SUBTIT 6 3 13" xfId="752"/>
    <cellStyle name="SUBTIT 6 3 13 2" xfId="1503"/>
    <cellStyle name="SUBTIT 6 3 13 3" xfId="2035"/>
    <cellStyle name="SUBTIT 6 3 13 4" xfId="2794"/>
    <cellStyle name="SUBTIT 6 3 14" xfId="850"/>
    <cellStyle name="SUBTIT 6 3 14 2" xfId="1601"/>
    <cellStyle name="SUBTIT 6 3 14 3" xfId="2133"/>
    <cellStyle name="SUBTIT 6 3 14 4" xfId="2892"/>
    <cellStyle name="SUBTIT 6 3 15" xfId="734"/>
    <cellStyle name="SUBTIT 6 3 15 2" xfId="1485"/>
    <cellStyle name="SUBTIT 6 3 15 3" xfId="2017"/>
    <cellStyle name="SUBTIT 6 3 15 4" xfId="2776"/>
    <cellStyle name="SUBTIT 6 3 16" xfId="649"/>
    <cellStyle name="SUBTIT 6 3 16 2" xfId="1400"/>
    <cellStyle name="SUBTIT 6 3 16 3" xfId="1932"/>
    <cellStyle name="SUBTIT 6 3 16 4" xfId="2691"/>
    <cellStyle name="SUBTIT 6 3 17" xfId="903"/>
    <cellStyle name="SUBTIT 6 3 17 2" xfId="1654"/>
    <cellStyle name="SUBTIT 6 3 17 3" xfId="2186"/>
    <cellStyle name="SUBTIT 6 3 17 4" xfId="2945"/>
    <cellStyle name="SUBTIT 6 3 18" xfId="923"/>
    <cellStyle name="SUBTIT 6 3 18 2" xfId="1674"/>
    <cellStyle name="SUBTIT 6 3 18 3" xfId="2206"/>
    <cellStyle name="SUBTIT 6 3 18 4" xfId="2965"/>
    <cellStyle name="SUBTIT 6 3 19" xfId="803"/>
    <cellStyle name="SUBTIT 6 3 19 2" xfId="1554"/>
    <cellStyle name="SUBTIT 6 3 19 3" xfId="2086"/>
    <cellStyle name="SUBTIT 6 3 19 4" xfId="2845"/>
    <cellStyle name="SUBTIT 6 3 2" xfId="535"/>
    <cellStyle name="SUBTIT 6 3 2 2" xfId="1288"/>
    <cellStyle name="SUBTIT 6 3 2 3" xfId="1846"/>
    <cellStyle name="SUBTIT 6 3 2 4" xfId="2577"/>
    <cellStyle name="SUBTIT 6 3 20" xfId="854"/>
    <cellStyle name="SUBTIT 6 3 20 2" xfId="1605"/>
    <cellStyle name="SUBTIT 6 3 20 3" xfId="2137"/>
    <cellStyle name="SUBTIT 6 3 20 4" xfId="2896"/>
    <cellStyle name="SUBTIT 6 3 21" xfId="845"/>
    <cellStyle name="SUBTIT 6 3 21 2" xfId="1596"/>
    <cellStyle name="SUBTIT 6 3 21 3" xfId="2128"/>
    <cellStyle name="SUBTIT 6 3 21 4" xfId="2887"/>
    <cellStyle name="SUBTIT 6 3 22" xfId="966"/>
    <cellStyle name="SUBTIT 6 3 22 2" xfId="1717"/>
    <cellStyle name="SUBTIT 6 3 22 3" xfId="2249"/>
    <cellStyle name="SUBTIT 6 3 22 4" xfId="3008"/>
    <cellStyle name="SUBTIT 6 3 23" xfId="769"/>
    <cellStyle name="SUBTIT 6 3 23 2" xfId="1520"/>
    <cellStyle name="SUBTIT 6 3 23 3" xfId="2052"/>
    <cellStyle name="SUBTIT 6 3 23 4" xfId="2811"/>
    <cellStyle name="SUBTIT 6 3 24" xfId="1078"/>
    <cellStyle name="SUBTIT 6 3 25" xfId="1738"/>
    <cellStyle name="SUBTIT 6 3 26" xfId="2357"/>
    <cellStyle name="SUBTIT 6 3 3" xfId="609"/>
    <cellStyle name="SUBTIT 6 3 3 2" xfId="1360"/>
    <cellStyle name="SUBTIT 6 3 3 3" xfId="1892"/>
    <cellStyle name="SUBTIT 6 3 3 4" xfId="2651"/>
    <cellStyle name="SUBTIT 6 3 4" xfId="645"/>
    <cellStyle name="SUBTIT 6 3 4 2" xfId="1396"/>
    <cellStyle name="SUBTIT 6 3 4 3" xfId="1928"/>
    <cellStyle name="SUBTIT 6 3 4 4" xfId="2687"/>
    <cellStyle name="SUBTIT 6 3 5" xfId="581"/>
    <cellStyle name="SUBTIT 6 3 5 2" xfId="1332"/>
    <cellStyle name="SUBTIT 6 3 5 3" xfId="1864"/>
    <cellStyle name="SUBTIT 6 3 5 4" xfId="2623"/>
    <cellStyle name="SUBTIT 6 3 6" xfId="367"/>
    <cellStyle name="SUBTIT 6 3 6 2" xfId="1127"/>
    <cellStyle name="SUBTIT 6 3 6 3" xfId="1760"/>
    <cellStyle name="SUBTIT 6 3 6 4" xfId="2409"/>
    <cellStyle name="SUBTIT 6 3 7" xfId="403"/>
    <cellStyle name="SUBTIT 6 3 7 2" xfId="1163"/>
    <cellStyle name="SUBTIT 6 3 7 3" xfId="1796"/>
    <cellStyle name="SUBTIT 6 3 7 4" xfId="2445"/>
    <cellStyle name="SUBTIT 6 3 8" xfId="623"/>
    <cellStyle name="SUBTIT 6 3 8 2" xfId="1374"/>
    <cellStyle name="SUBTIT 6 3 8 3" xfId="1906"/>
    <cellStyle name="SUBTIT 6 3 8 4" xfId="2665"/>
    <cellStyle name="SUBTIT 6 3 9" xfId="393"/>
    <cellStyle name="SUBTIT 6 3 9 2" xfId="1153"/>
    <cellStyle name="SUBTIT 6 3 9 3" xfId="1786"/>
    <cellStyle name="SUBTIT 6 3 9 4" xfId="2435"/>
    <cellStyle name="SUBTIT 6 4" xfId="451"/>
    <cellStyle name="SUBTIT 6 4 2" xfId="1209"/>
    <cellStyle name="SUBTIT 6 4 3" xfId="1818"/>
    <cellStyle name="SUBTIT 6 4 4" xfId="2493"/>
    <cellStyle name="SUBTIT 6 5" xfId="608"/>
    <cellStyle name="SUBTIT 6 5 2" xfId="1359"/>
    <cellStyle name="SUBTIT 6 5 3" xfId="1891"/>
    <cellStyle name="SUBTIT 6 5 4" xfId="2650"/>
    <cellStyle name="SUBTIT 6 6" xfId="386"/>
    <cellStyle name="SUBTIT 6 6 2" xfId="1146"/>
    <cellStyle name="SUBTIT 6 6 3" xfId="1779"/>
    <cellStyle name="SUBTIT 6 6 4" xfId="2428"/>
    <cellStyle name="SUBTIT 6 7" xfId="457"/>
    <cellStyle name="SUBTIT 6 7 2" xfId="1215"/>
    <cellStyle name="SUBTIT 6 7 3" xfId="1822"/>
    <cellStyle name="SUBTIT 6 7 4" xfId="2499"/>
    <cellStyle name="SUBTIT 6 8" xfId="597"/>
    <cellStyle name="SUBTIT 6 8 2" xfId="1348"/>
    <cellStyle name="SUBTIT 6 8 3" xfId="1880"/>
    <cellStyle name="SUBTIT 6 8 4" xfId="2639"/>
    <cellStyle name="SUBTIT 6 9" xfId="587"/>
    <cellStyle name="SUBTIT 6 9 2" xfId="1338"/>
    <cellStyle name="SUBTIT 6 9 3" xfId="1870"/>
    <cellStyle name="SUBTIT 6 9 4" xfId="2629"/>
    <cellStyle name="SUBTIT 7" xfId="278"/>
    <cellStyle name="SUBTIT 7 10" xfId="755"/>
    <cellStyle name="SUBTIT 7 10 2" xfId="1506"/>
    <cellStyle name="SUBTIT 7 10 3" xfId="2038"/>
    <cellStyle name="SUBTIT 7 10 4" xfId="2797"/>
    <cellStyle name="SUBTIT 7 11" xfId="678"/>
    <cellStyle name="SUBTIT 7 11 2" xfId="1429"/>
    <cellStyle name="SUBTIT 7 11 3" xfId="1961"/>
    <cellStyle name="SUBTIT 7 11 4" xfId="2720"/>
    <cellStyle name="SUBTIT 7 12" xfId="781"/>
    <cellStyle name="SUBTIT 7 12 2" xfId="1532"/>
    <cellStyle name="SUBTIT 7 12 3" xfId="2064"/>
    <cellStyle name="SUBTIT 7 12 4" xfId="2823"/>
    <cellStyle name="SUBTIT 7 13" xfId="840"/>
    <cellStyle name="SUBTIT 7 13 2" xfId="1591"/>
    <cellStyle name="SUBTIT 7 13 3" xfId="2123"/>
    <cellStyle name="SUBTIT 7 13 4" xfId="2882"/>
    <cellStyle name="SUBTIT 7 14" xfId="777"/>
    <cellStyle name="SUBTIT 7 14 2" xfId="1528"/>
    <cellStyle name="SUBTIT 7 14 3" xfId="2060"/>
    <cellStyle name="SUBTIT 7 14 4" xfId="2819"/>
    <cellStyle name="SUBTIT 7 15" xfId="892"/>
    <cellStyle name="SUBTIT 7 15 2" xfId="1643"/>
    <cellStyle name="SUBTIT 7 15 3" xfId="2175"/>
    <cellStyle name="SUBTIT 7 15 4" xfId="2934"/>
    <cellStyle name="SUBTIT 7 16" xfId="458"/>
    <cellStyle name="SUBTIT 7 16 2" xfId="1216"/>
    <cellStyle name="SUBTIT 7 16 3" xfId="1823"/>
    <cellStyle name="SUBTIT 7 16 4" xfId="2500"/>
    <cellStyle name="SUBTIT 7 17" xfId="888"/>
    <cellStyle name="SUBTIT 7 17 2" xfId="1639"/>
    <cellStyle name="SUBTIT 7 17 3" xfId="2171"/>
    <cellStyle name="SUBTIT 7 17 4" xfId="2930"/>
    <cellStyle name="SUBTIT 7 18" xfId="1045"/>
    <cellStyle name="SUBTIT 7 2" xfId="348"/>
    <cellStyle name="SUBTIT 7 2 10" xfId="786"/>
    <cellStyle name="SUBTIT 7 2 10 2" xfId="1537"/>
    <cellStyle name="SUBTIT 7 2 10 3" xfId="2069"/>
    <cellStyle name="SUBTIT 7 2 10 4" xfId="2828"/>
    <cellStyle name="SUBTIT 7 2 11" xfId="799"/>
    <cellStyle name="SUBTIT 7 2 11 2" xfId="1550"/>
    <cellStyle name="SUBTIT 7 2 11 3" xfId="2082"/>
    <cellStyle name="SUBTIT 7 2 11 4" xfId="2841"/>
    <cellStyle name="SUBTIT 7 2 12" xfId="827"/>
    <cellStyle name="SUBTIT 7 2 12 2" xfId="1578"/>
    <cellStyle name="SUBTIT 7 2 12 3" xfId="2110"/>
    <cellStyle name="SUBTIT 7 2 12 4" xfId="2869"/>
    <cellStyle name="SUBTIT 7 2 13" xfId="836"/>
    <cellStyle name="SUBTIT 7 2 13 2" xfId="1587"/>
    <cellStyle name="SUBTIT 7 2 13 3" xfId="2119"/>
    <cellStyle name="SUBTIT 7 2 13 4" xfId="2878"/>
    <cellStyle name="SUBTIT 7 2 14" xfId="862"/>
    <cellStyle name="SUBTIT 7 2 14 2" xfId="1613"/>
    <cellStyle name="SUBTIT 7 2 14 3" xfId="2145"/>
    <cellStyle name="SUBTIT 7 2 14 4" xfId="2904"/>
    <cellStyle name="SUBTIT 7 2 15" xfId="873"/>
    <cellStyle name="SUBTIT 7 2 15 2" xfId="1624"/>
    <cellStyle name="SUBTIT 7 2 15 3" xfId="2156"/>
    <cellStyle name="SUBTIT 7 2 15 4" xfId="2915"/>
    <cellStyle name="SUBTIT 7 2 16" xfId="880"/>
    <cellStyle name="SUBTIT 7 2 16 2" xfId="1631"/>
    <cellStyle name="SUBTIT 7 2 16 3" xfId="2163"/>
    <cellStyle name="SUBTIT 7 2 16 4" xfId="2922"/>
    <cellStyle name="SUBTIT 7 2 17" xfId="910"/>
    <cellStyle name="SUBTIT 7 2 17 2" xfId="1661"/>
    <cellStyle name="SUBTIT 7 2 17 3" xfId="2193"/>
    <cellStyle name="SUBTIT 7 2 17 4" xfId="2952"/>
    <cellStyle name="SUBTIT 7 2 18" xfId="932"/>
    <cellStyle name="SUBTIT 7 2 18 2" xfId="1683"/>
    <cellStyle name="SUBTIT 7 2 18 3" xfId="2215"/>
    <cellStyle name="SUBTIT 7 2 18 4" xfId="2974"/>
    <cellStyle name="SUBTIT 7 2 19" xfId="944"/>
    <cellStyle name="SUBTIT 7 2 19 2" xfId="1695"/>
    <cellStyle name="SUBTIT 7 2 19 3" xfId="2227"/>
    <cellStyle name="SUBTIT 7 2 19 4" xfId="2986"/>
    <cellStyle name="SUBTIT 7 2 2" xfId="569"/>
    <cellStyle name="SUBTIT 7 2 2 2" xfId="1320"/>
    <cellStyle name="SUBTIT 7 2 2 3" xfId="1852"/>
    <cellStyle name="SUBTIT 7 2 2 4" xfId="2611"/>
    <cellStyle name="SUBTIT 7 2 20" xfId="952"/>
    <cellStyle name="SUBTIT 7 2 20 2" xfId="1703"/>
    <cellStyle name="SUBTIT 7 2 20 3" xfId="2235"/>
    <cellStyle name="SUBTIT 7 2 20 4" xfId="2994"/>
    <cellStyle name="SUBTIT 7 2 21" xfId="959"/>
    <cellStyle name="SUBTIT 7 2 21 2" xfId="1710"/>
    <cellStyle name="SUBTIT 7 2 21 3" xfId="2242"/>
    <cellStyle name="SUBTIT 7 2 21 4" xfId="3001"/>
    <cellStyle name="SUBTIT 7 2 22" xfId="972"/>
    <cellStyle name="SUBTIT 7 2 22 2" xfId="1723"/>
    <cellStyle name="SUBTIT 7 2 22 3" xfId="2255"/>
    <cellStyle name="SUBTIT 7 2 22 4" xfId="3014"/>
    <cellStyle name="SUBTIT 7 2 23" xfId="979"/>
    <cellStyle name="SUBTIT 7 2 23 2" xfId="1730"/>
    <cellStyle name="SUBTIT 7 2 23 3" xfId="2262"/>
    <cellStyle name="SUBTIT 7 2 23 4" xfId="3021"/>
    <cellStyle name="SUBTIT 7 2 24" xfId="1110"/>
    <cellStyle name="SUBTIT 7 2 25" xfId="1744"/>
    <cellStyle name="SUBTIT 7 2 26" xfId="2391"/>
    <cellStyle name="SUBTIT 7 2 3" xfId="619"/>
    <cellStyle name="SUBTIT 7 2 3 2" xfId="1370"/>
    <cellStyle name="SUBTIT 7 2 3 3" xfId="1902"/>
    <cellStyle name="SUBTIT 7 2 3 4" xfId="2661"/>
    <cellStyle name="SUBTIT 7 2 4" xfId="660"/>
    <cellStyle name="SUBTIT 7 2 4 2" xfId="1411"/>
    <cellStyle name="SUBTIT 7 2 4 3" xfId="1943"/>
    <cellStyle name="SUBTIT 7 2 4 4" xfId="2702"/>
    <cellStyle name="SUBTIT 7 2 5" xfId="672"/>
    <cellStyle name="SUBTIT 7 2 5 2" xfId="1423"/>
    <cellStyle name="SUBTIT 7 2 5 3" xfId="1955"/>
    <cellStyle name="SUBTIT 7 2 5 4" xfId="2714"/>
    <cellStyle name="SUBTIT 7 2 6" xfId="592"/>
    <cellStyle name="SUBTIT 7 2 6 2" xfId="1343"/>
    <cellStyle name="SUBTIT 7 2 6 3" xfId="1875"/>
    <cellStyle name="SUBTIT 7 2 6 4" xfId="2634"/>
    <cellStyle name="SUBTIT 7 2 7" xfId="698"/>
    <cellStyle name="SUBTIT 7 2 7 2" xfId="1449"/>
    <cellStyle name="SUBTIT 7 2 7 3" xfId="1981"/>
    <cellStyle name="SUBTIT 7 2 7 4" xfId="2740"/>
    <cellStyle name="SUBTIT 7 2 8" xfId="709"/>
    <cellStyle name="SUBTIT 7 2 8 2" xfId="1460"/>
    <cellStyle name="SUBTIT 7 2 8 3" xfId="1992"/>
    <cellStyle name="SUBTIT 7 2 8 4" xfId="2751"/>
    <cellStyle name="SUBTIT 7 2 9" xfId="717"/>
    <cellStyle name="SUBTIT 7 2 9 2" xfId="1468"/>
    <cellStyle name="SUBTIT 7 2 9 3" xfId="2000"/>
    <cellStyle name="SUBTIT 7 2 9 4" xfId="2759"/>
    <cellStyle name="SUBTIT 7 3" xfId="499"/>
    <cellStyle name="SUBTIT 7 3 2" xfId="1255"/>
    <cellStyle name="SUBTIT 7 3 3" xfId="1838"/>
    <cellStyle name="SUBTIT 7 3 4" xfId="2541"/>
    <cellStyle name="SUBTIT 7 4" xfId="628"/>
    <cellStyle name="SUBTIT 7 4 2" xfId="1379"/>
    <cellStyle name="SUBTIT 7 4 3" xfId="1911"/>
    <cellStyle name="SUBTIT 7 4 4" xfId="2670"/>
    <cellStyle name="SUBTIT 7 5" xfId="417"/>
    <cellStyle name="SUBTIT 7 5 2" xfId="1177"/>
    <cellStyle name="SUBTIT 7 5 3" xfId="1810"/>
    <cellStyle name="SUBTIT 7 5 4" xfId="2459"/>
    <cellStyle name="SUBTIT 7 6" xfId="383"/>
    <cellStyle name="SUBTIT 7 6 2" xfId="1143"/>
    <cellStyle name="SUBTIT 7 6 3" xfId="1776"/>
    <cellStyle name="SUBTIT 7 6 4" xfId="2425"/>
    <cellStyle name="SUBTIT 7 7" xfId="684"/>
    <cellStyle name="SUBTIT 7 7 2" xfId="1435"/>
    <cellStyle name="SUBTIT 7 7 3" xfId="1967"/>
    <cellStyle name="SUBTIT 7 7 4" xfId="2726"/>
    <cellStyle name="SUBTIT 7 8" xfId="686"/>
    <cellStyle name="SUBTIT 7 8 2" xfId="1437"/>
    <cellStyle name="SUBTIT 7 8 3" xfId="1969"/>
    <cellStyle name="SUBTIT 7 8 4" xfId="2728"/>
    <cellStyle name="SUBTIT 7 9" xfId="591"/>
    <cellStyle name="SUBTIT 7 9 2" xfId="1342"/>
    <cellStyle name="SUBTIT 7 9 3" xfId="1874"/>
    <cellStyle name="SUBTIT 7 9 4" xfId="2633"/>
    <cellStyle name="SUBTIT 8" xfId="277"/>
    <cellStyle name="SUBTIT 8 10" xfId="754"/>
    <cellStyle name="SUBTIT 8 10 2" xfId="1505"/>
    <cellStyle name="SUBTIT 8 10 3" xfId="2037"/>
    <cellStyle name="SUBTIT 8 10 4" xfId="2796"/>
    <cellStyle name="SUBTIT 8 11" xfId="695"/>
    <cellStyle name="SUBTIT 8 11 2" xfId="1446"/>
    <cellStyle name="SUBTIT 8 11 3" xfId="1978"/>
    <cellStyle name="SUBTIT 8 11 4" xfId="2737"/>
    <cellStyle name="SUBTIT 8 12" xfId="795"/>
    <cellStyle name="SUBTIT 8 12 2" xfId="1546"/>
    <cellStyle name="SUBTIT 8 12 3" xfId="2078"/>
    <cellStyle name="SUBTIT 8 12 4" xfId="2837"/>
    <cellStyle name="SUBTIT 8 13" xfId="690"/>
    <cellStyle name="SUBTIT 8 13 2" xfId="1441"/>
    <cellStyle name="SUBTIT 8 13 3" xfId="1973"/>
    <cellStyle name="SUBTIT 8 13 4" xfId="2732"/>
    <cellStyle name="SUBTIT 8 14" xfId="809"/>
    <cellStyle name="SUBTIT 8 14 2" xfId="1560"/>
    <cellStyle name="SUBTIT 8 14 3" xfId="2092"/>
    <cellStyle name="SUBTIT 8 14 4" xfId="2851"/>
    <cellStyle name="SUBTIT 8 15" xfId="891"/>
    <cellStyle name="SUBTIT 8 15 2" xfId="1642"/>
    <cellStyle name="SUBTIT 8 15 3" xfId="2174"/>
    <cellStyle name="SUBTIT 8 15 4" xfId="2933"/>
    <cellStyle name="SUBTIT 8 16" xfId="818"/>
    <cellStyle name="SUBTIT 8 16 2" xfId="1569"/>
    <cellStyle name="SUBTIT 8 16 3" xfId="2101"/>
    <cellStyle name="SUBTIT 8 16 4" xfId="2860"/>
    <cellStyle name="SUBTIT 8 17" xfId="936"/>
    <cellStyle name="SUBTIT 8 17 2" xfId="1687"/>
    <cellStyle name="SUBTIT 8 17 3" xfId="2219"/>
    <cellStyle name="SUBTIT 8 17 4" xfId="2978"/>
    <cellStyle name="SUBTIT 8 18" xfId="1044"/>
    <cellStyle name="SUBTIT 8 2" xfId="347"/>
    <cellStyle name="SUBTIT 8 2 10" xfId="785"/>
    <cellStyle name="SUBTIT 8 2 10 2" xfId="1536"/>
    <cellStyle name="SUBTIT 8 2 10 3" xfId="2068"/>
    <cellStyle name="SUBTIT 8 2 10 4" xfId="2827"/>
    <cellStyle name="SUBTIT 8 2 11" xfId="798"/>
    <cellStyle name="SUBTIT 8 2 11 2" xfId="1549"/>
    <cellStyle name="SUBTIT 8 2 11 3" xfId="2081"/>
    <cellStyle name="SUBTIT 8 2 11 4" xfId="2840"/>
    <cellStyle name="SUBTIT 8 2 12" xfId="826"/>
    <cellStyle name="SUBTIT 8 2 12 2" xfId="1577"/>
    <cellStyle name="SUBTIT 8 2 12 3" xfId="2109"/>
    <cellStyle name="SUBTIT 8 2 12 4" xfId="2868"/>
    <cellStyle name="SUBTIT 8 2 13" xfId="835"/>
    <cellStyle name="SUBTIT 8 2 13 2" xfId="1586"/>
    <cellStyle name="SUBTIT 8 2 13 3" xfId="2118"/>
    <cellStyle name="SUBTIT 8 2 13 4" xfId="2877"/>
    <cellStyle name="SUBTIT 8 2 14" xfId="861"/>
    <cellStyle name="SUBTIT 8 2 14 2" xfId="1612"/>
    <cellStyle name="SUBTIT 8 2 14 3" xfId="2144"/>
    <cellStyle name="SUBTIT 8 2 14 4" xfId="2903"/>
    <cellStyle name="SUBTIT 8 2 15" xfId="872"/>
    <cellStyle name="SUBTIT 8 2 15 2" xfId="1623"/>
    <cellStyle name="SUBTIT 8 2 15 3" xfId="2155"/>
    <cellStyle name="SUBTIT 8 2 15 4" xfId="2914"/>
    <cellStyle name="SUBTIT 8 2 16" xfId="879"/>
    <cellStyle name="SUBTIT 8 2 16 2" xfId="1630"/>
    <cellStyle name="SUBTIT 8 2 16 3" xfId="2162"/>
    <cellStyle name="SUBTIT 8 2 16 4" xfId="2921"/>
    <cellStyle name="SUBTIT 8 2 17" xfId="909"/>
    <cellStyle name="SUBTIT 8 2 17 2" xfId="1660"/>
    <cellStyle name="SUBTIT 8 2 17 3" xfId="2192"/>
    <cellStyle name="SUBTIT 8 2 17 4" xfId="2951"/>
    <cellStyle name="SUBTIT 8 2 18" xfId="931"/>
    <cellStyle name="SUBTIT 8 2 18 2" xfId="1682"/>
    <cellStyle name="SUBTIT 8 2 18 3" xfId="2214"/>
    <cellStyle name="SUBTIT 8 2 18 4" xfId="2973"/>
    <cellStyle name="SUBTIT 8 2 19" xfId="943"/>
    <cellStyle name="SUBTIT 8 2 19 2" xfId="1694"/>
    <cellStyle name="SUBTIT 8 2 19 3" xfId="2226"/>
    <cellStyle name="SUBTIT 8 2 19 4" xfId="2985"/>
    <cellStyle name="SUBTIT 8 2 2" xfId="568"/>
    <cellStyle name="SUBTIT 8 2 2 2" xfId="1319"/>
    <cellStyle name="SUBTIT 8 2 2 3" xfId="1851"/>
    <cellStyle name="SUBTIT 8 2 2 4" xfId="2610"/>
    <cellStyle name="SUBTIT 8 2 20" xfId="951"/>
    <cellStyle name="SUBTIT 8 2 20 2" xfId="1702"/>
    <cellStyle name="SUBTIT 8 2 20 3" xfId="2234"/>
    <cellStyle name="SUBTIT 8 2 20 4" xfId="2993"/>
    <cellStyle name="SUBTIT 8 2 21" xfId="958"/>
    <cellStyle name="SUBTIT 8 2 21 2" xfId="1709"/>
    <cellStyle name="SUBTIT 8 2 21 3" xfId="2241"/>
    <cellStyle name="SUBTIT 8 2 21 4" xfId="3000"/>
    <cellStyle name="SUBTIT 8 2 22" xfId="971"/>
    <cellStyle name="SUBTIT 8 2 22 2" xfId="1722"/>
    <cellStyle name="SUBTIT 8 2 22 3" xfId="2254"/>
    <cellStyle name="SUBTIT 8 2 22 4" xfId="3013"/>
    <cellStyle name="SUBTIT 8 2 23" xfId="978"/>
    <cellStyle name="SUBTIT 8 2 23 2" xfId="1729"/>
    <cellStyle name="SUBTIT 8 2 23 3" xfId="2261"/>
    <cellStyle name="SUBTIT 8 2 23 4" xfId="3020"/>
    <cellStyle name="SUBTIT 8 2 24" xfId="1109"/>
    <cellStyle name="SUBTIT 8 2 25" xfId="1743"/>
    <cellStyle name="SUBTIT 8 2 26" xfId="2390"/>
    <cellStyle name="SUBTIT 8 2 3" xfId="618"/>
    <cellStyle name="SUBTIT 8 2 3 2" xfId="1369"/>
    <cellStyle name="SUBTIT 8 2 3 3" xfId="1901"/>
    <cellStyle name="SUBTIT 8 2 3 4" xfId="2660"/>
    <cellStyle name="SUBTIT 8 2 4" xfId="659"/>
    <cellStyle name="SUBTIT 8 2 4 2" xfId="1410"/>
    <cellStyle name="SUBTIT 8 2 4 3" xfId="1942"/>
    <cellStyle name="SUBTIT 8 2 4 4" xfId="2701"/>
    <cellStyle name="SUBTIT 8 2 5" xfId="671"/>
    <cellStyle name="SUBTIT 8 2 5 2" xfId="1422"/>
    <cellStyle name="SUBTIT 8 2 5 3" xfId="1954"/>
    <cellStyle name="SUBTIT 8 2 5 4" xfId="2713"/>
    <cellStyle name="SUBTIT 8 2 6" xfId="402"/>
    <cellStyle name="SUBTIT 8 2 6 2" xfId="1162"/>
    <cellStyle name="SUBTIT 8 2 6 3" xfId="1795"/>
    <cellStyle name="SUBTIT 8 2 6 4" xfId="2444"/>
    <cellStyle name="SUBTIT 8 2 7" xfId="697"/>
    <cellStyle name="SUBTIT 8 2 7 2" xfId="1448"/>
    <cellStyle name="SUBTIT 8 2 7 3" xfId="1980"/>
    <cellStyle name="SUBTIT 8 2 7 4" xfId="2739"/>
    <cellStyle name="SUBTIT 8 2 8" xfId="708"/>
    <cellStyle name="SUBTIT 8 2 8 2" xfId="1459"/>
    <cellStyle name="SUBTIT 8 2 8 3" xfId="1991"/>
    <cellStyle name="SUBTIT 8 2 8 4" xfId="2750"/>
    <cellStyle name="SUBTIT 8 2 9" xfId="716"/>
    <cellStyle name="SUBTIT 8 2 9 2" xfId="1467"/>
    <cellStyle name="SUBTIT 8 2 9 3" xfId="1999"/>
    <cellStyle name="SUBTIT 8 2 9 4" xfId="2758"/>
    <cellStyle name="SUBTIT 8 3" xfId="498"/>
    <cellStyle name="SUBTIT 8 3 2" xfId="1254"/>
    <cellStyle name="SUBTIT 8 3 3" xfId="1837"/>
    <cellStyle name="SUBTIT 8 3 4" xfId="2540"/>
    <cellStyle name="SUBTIT 8 4" xfId="627"/>
    <cellStyle name="SUBTIT 8 4 2" xfId="1378"/>
    <cellStyle name="SUBTIT 8 4 3" xfId="1910"/>
    <cellStyle name="SUBTIT 8 4 4" xfId="2669"/>
    <cellStyle name="SUBTIT 8 5" xfId="604"/>
    <cellStyle name="SUBTIT 8 5 2" xfId="1355"/>
    <cellStyle name="SUBTIT 8 5 3" xfId="1887"/>
    <cellStyle name="SUBTIT 8 5 4" xfId="2646"/>
    <cellStyle name="SUBTIT 8 6" xfId="651"/>
    <cellStyle name="SUBTIT 8 6 2" xfId="1402"/>
    <cellStyle name="SUBTIT 8 6 3" xfId="1934"/>
    <cellStyle name="SUBTIT 8 6 4" xfId="2693"/>
    <cellStyle name="SUBTIT 8 7" xfId="652"/>
    <cellStyle name="SUBTIT 8 7 2" xfId="1403"/>
    <cellStyle name="SUBTIT 8 7 3" xfId="1935"/>
    <cellStyle name="SUBTIT 8 7 4" xfId="2694"/>
    <cellStyle name="SUBTIT 8 8" xfId="637"/>
    <cellStyle name="SUBTIT 8 8 2" xfId="1388"/>
    <cellStyle name="SUBTIT 8 8 3" xfId="1920"/>
    <cellStyle name="SUBTIT 8 8 4" xfId="2679"/>
    <cellStyle name="SUBTIT 8 9" xfId="399"/>
    <cellStyle name="SUBTIT 8 9 2" xfId="1159"/>
    <cellStyle name="SUBTIT 8 9 3" xfId="1792"/>
    <cellStyle name="SUBTIT 8 9 4" xfId="2441"/>
    <cellStyle name="SUBTIT 9" xfId="249"/>
    <cellStyle name="SUBTIT 9 10" xfId="745"/>
    <cellStyle name="SUBTIT 9 10 2" xfId="1496"/>
    <cellStyle name="SUBTIT 9 10 3" xfId="2028"/>
    <cellStyle name="SUBTIT 9 10 4" xfId="2787"/>
    <cellStyle name="SUBTIT 9 11" xfId="731"/>
    <cellStyle name="SUBTIT 9 11 2" xfId="1482"/>
    <cellStyle name="SUBTIT 9 11 3" xfId="2014"/>
    <cellStyle name="SUBTIT 9 11 4" xfId="2773"/>
    <cellStyle name="SUBTIT 9 12" xfId="455"/>
    <cellStyle name="SUBTIT 9 12 2" xfId="1213"/>
    <cellStyle name="SUBTIT 9 12 3" xfId="1820"/>
    <cellStyle name="SUBTIT 9 12 4" xfId="2497"/>
    <cellStyle name="SUBTIT 9 13" xfId="739"/>
    <cellStyle name="SUBTIT 9 13 2" xfId="1490"/>
    <cellStyle name="SUBTIT 9 13 3" xfId="2022"/>
    <cellStyle name="SUBTIT 9 13 4" xfId="2781"/>
    <cellStyle name="SUBTIT 9 14" xfId="585"/>
    <cellStyle name="SUBTIT 9 14 2" xfId="1336"/>
    <cellStyle name="SUBTIT 9 14 3" xfId="1868"/>
    <cellStyle name="SUBTIT 9 14 4" xfId="2627"/>
    <cellStyle name="SUBTIT 9 15" xfId="886"/>
    <cellStyle name="SUBTIT 9 15 2" xfId="1637"/>
    <cellStyle name="SUBTIT 9 15 3" xfId="2169"/>
    <cellStyle name="SUBTIT 9 15 4" xfId="2928"/>
    <cellStyle name="SUBTIT 9 16" xfId="884"/>
    <cellStyle name="SUBTIT 9 16 2" xfId="1635"/>
    <cellStyle name="SUBTIT 9 16 3" xfId="2167"/>
    <cellStyle name="SUBTIT 9 16 4" xfId="2926"/>
    <cellStyle name="SUBTIT 9 17" xfId="928"/>
    <cellStyle name="SUBTIT 9 17 2" xfId="1679"/>
    <cellStyle name="SUBTIT 9 17 3" xfId="2211"/>
    <cellStyle name="SUBTIT 9 17 4" xfId="2970"/>
    <cellStyle name="SUBTIT 9 18" xfId="1018"/>
    <cellStyle name="SUBTIT 9 2" xfId="320"/>
    <cellStyle name="SUBTIT 9 2 10" xfId="778"/>
    <cellStyle name="SUBTIT 9 2 10 2" xfId="1529"/>
    <cellStyle name="SUBTIT 9 2 10 3" xfId="2061"/>
    <cellStyle name="SUBTIT 9 2 10 4" xfId="2820"/>
    <cellStyle name="SUBTIT 9 2 11" xfId="790"/>
    <cellStyle name="SUBTIT 9 2 11 2" xfId="1541"/>
    <cellStyle name="SUBTIT 9 2 11 3" xfId="2073"/>
    <cellStyle name="SUBTIT 9 2 11 4" xfId="2832"/>
    <cellStyle name="SUBTIT 9 2 12" xfId="816"/>
    <cellStyle name="SUBTIT 9 2 12 2" xfId="1567"/>
    <cellStyle name="SUBTIT 9 2 12 3" xfId="2099"/>
    <cellStyle name="SUBTIT 9 2 12 4" xfId="2858"/>
    <cellStyle name="SUBTIT 9 2 13" xfId="780"/>
    <cellStyle name="SUBTIT 9 2 13 2" xfId="1531"/>
    <cellStyle name="SUBTIT 9 2 13 3" xfId="2063"/>
    <cellStyle name="SUBTIT 9 2 13 4" xfId="2822"/>
    <cellStyle name="SUBTIT 9 2 14" xfId="853"/>
    <cellStyle name="SUBTIT 9 2 14 2" xfId="1604"/>
    <cellStyle name="SUBTIT 9 2 14 3" xfId="2136"/>
    <cellStyle name="SUBTIT 9 2 14 4" xfId="2895"/>
    <cellStyle name="SUBTIT 9 2 15" xfId="689"/>
    <cellStyle name="SUBTIT 9 2 15 2" xfId="1440"/>
    <cellStyle name="SUBTIT 9 2 15 3" xfId="1972"/>
    <cellStyle name="SUBTIT 9 2 15 4" xfId="2731"/>
    <cellStyle name="SUBTIT 9 2 16" xfId="806"/>
    <cellStyle name="SUBTIT 9 2 16 2" xfId="1557"/>
    <cellStyle name="SUBTIT 9 2 16 3" xfId="2089"/>
    <cellStyle name="SUBTIT 9 2 16 4" xfId="2848"/>
    <cellStyle name="SUBTIT 9 2 17" xfId="905"/>
    <cellStyle name="SUBTIT 9 2 17 2" xfId="1656"/>
    <cellStyle name="SUBTIT 9 2 17 3" xfId="2188"/>
    <cellStyle name="SUBTIT 9 2 17 4" xfId="2947"/>
    <cellStyle name="SUBTIT 9 2 18" xfId="925"/>
    <cellStyle name="SUBTIT 9 2 18 2" xfId="1676"/>
    <cellStyle name="SUBTIT 9 2 18 3" xfId="2208"/>
    <cellStyle name="SUBTIT 9 2 18 4" xfId="2967"/>
    <cellStyle name="SUBTIT 9 2 19" xfId="824"/>
    <cellStyle name="SUBTIT 9 2 19 2" xfId="1575"/>
    <cellStyle name="SUBTIT 9 2 19 3" xfId="2107"/>
    <cellStyle name="SUBTIT 9 2 19 4" xfId="2866"/>
    <cellStyle name="SUBTIT 9 2 2" xfId="541"/>
    <cellStyle name="SUBTIT 9 2 2 2" xfId="1293"/>
    <cellStyle name="SUBTIT 9 2 2 3" xfId="1848"/>
    <cellStyle name="SUBTIT 9 2 2 4" xfId="2583"/>
    <cellStyle name="SUBTIT 9 2 20" xfId="820"/>
    <cellStyle name="SUBTIT 9 2 20 2" xfId="1571"/>
    <cellStyle name="SUBTIT 9 2 20 3" xfId="2103"/>
    <cellStyle name="SUBTIT 9 2 20 4" xfId="2862"/>
    <cellStyle name="SUBTIT 9 2 21" xfId="847"/>
    <cellStyle name="SUBTIT 9 2 21 2" xfId="1598"/>
    <cellStyle name="SUBTIT 9 2 21 3" xfId="2130"/>
    <cellStyle name="SUBTIT 9 2 21 4" xfId="2889"/>
    <cellStyle name="SUBTIT 9 2 22" xfId="968"/>
    <cellStyle name="SUBTIT 9 2 22 2" xfId="1719"/>
    <cellStyle name="SUBTIT 9 2 22 3" xfId="2251"/>
    <cellStyle name="SUBTIT 9 2 22 4" xfId="3010"/>
    <cellStyle name="SUBTIT 9 2 23" xfId="927"/>
    <cellStyle name="SUBTIT 9 2 23 2" xfId="1678"/>
    <cellStyle name="SUBTIT 9 2 23 3" xfId="2210"/>
    <cellStyle name="SUBTIT 9 2 23 4" xfId="2969"/>
    <cellStyle name="SUBTIT 9 2 24" xfId="1083"/>
    <cellStyle name="SUBTIT 9 2 25" xfId="1740"/>
    <cellStyle name="SUBTIT 9 2 26" xfId="2363"/>
    <cellStyle name="SUBTIT 9 2 3" xfId="612"/>
    <cellStyle name="SUBTIT 9 2 3 2" xfId="1363"/>
    <cellStyle name="SUBTIT 9 2 3 3" xfId="1895"/>
    <cellStyle name="SUBTIT 9 2 3 4" xfId="2654"/>
    <cellStyle name="SUBTIT 9 2 4" xfId="650"/>
    <cellStyle name="SUBTIT 9 2 4 2" xfId="1401"/>
    <cellStyle name="SUBTIT 9 2 4 3" xfId="1933"/>
    <cellStyle name="SUBTIT 9 2 4 4" xfId="2692"/>
    <cellStyle name="SUBTIT 9 2 5" xfId="584"/>
    <cellStyle name="SUBTIT 9 2 5 2" xfId="1335"/>
    <cellStyle name="SUBTIT 9 2 5 3" xfId="1867"/>
    <cellStyle name="SUBTIT 9 2 5 4" xfId="2626"/>
    <cellStyle name="SUBTIT 9 2 6" xfId="414"/>
    <cellStyle name="SUBTIT 9 2 6 2" xfId="1174"/>
    <cellStyle name="SUBTIT 9 2 6 3" xfId="1807"/>
    <cellStyle name="SUBTIT 9 2 6 4" xfId="2456"/>
    <cellStyle name="SUBTIT 9 2 7" xfId="573"/>
    <cellStyle name="SUBTIT 9 2 7 2" xfId="1324"/>
    <cellStyle name="SUBTIT 9 2 7 3" xfId="1856"/>
    <cellStyle name="SUBTIT 9 2 7 4" xfId="2615"/>
    <cellStyle name="SUBTIT 9 2 8" xfId="461"/>
    <cellStyle name="SUBTIT 9 2 8 2" xfId="1219"/>
    <cellStyle name="SUBTIT 9 2 8 3" xfId="1826"/>
    <cellStyle name="SUBTIT 9 2 8 4" xfId="2503"/>
    <cellStyle name="SUBTIT 9 2 9" xfId="371"/>
    <cellStyle name="SUBTIT 9 2 9 2" xfId="1131"/>
    <cellStyle name="SUBTIT 9 2 9 3" xfId="1764"/>
    <cellStyle name="SUBTIT 9 2 9 4" xfId="2413"/>
    <cellStyle name="SUBTIT 9 3" xfId="471"/>
    <cellStyle name="SUBTIT 9 3 2" xfId="1228"/>
    <cellStyle name="SUBTIT 9 3 3" xfId="1834"/>
    <cellStyle name="SUBTIT 9 3 4" xfId="2513"/>
    <cellStyle name="SUBTIT 9 4" xfId="583"/>
    <cellStyle name="SUBTIT 9 4 2" xfId="1334"/>
    <cellStyle name="SUBTIT 9 4 3" xfId="1866"/>
    <cellStyle name="SUBTIT 9 4 4" xfId="2625"/>
    <cellStyle name="SUBTIT 9 5" xfId="456"/>
    <cellStyle name="SUBTIT 9 5 2" xfId="1214"/>
    <cellStyle name="SUBTIT 9 5 3" xfId="1821"/>
    <cellStyle name="SUBTIT 9 5 4" xfId="2498"/>
    <cellStyle name="SUBTIT 9 6" xfId="655"/>
    <cellStyle name="SUBTIT 9 6 2" xfId="1406"/>
    <cellStyle name="SUBTIT 9 6 3" xfId="1938"/>
    <cellStyle name="SUBTIT 9 6 4" xfId="2697"/>
    <cellStyle name="SUBTIT 9 7" xfId="394"/>
    <cellStyle name="SUBTIT 9 7 2" xfId="1154"/>
    <cellStyle name="SUBTIT 9 7 3" xfId="1787"/>
    <cellStyle name="SUBTIT 9 7 4" xfId="2436"/>
    <cellStyle name="SUBTIT 9 8" xfId="611"/>
    <cellStyle name="SUBTIT 9 8 2" xfId="1362"/>
    <cellStyle name="SUBTIT 9 8 3" xfId="1894"/>
    <cellStyle name="SUBTIT 9 8 4" xfId="2653"/>
    <cellStyle name="SUBTIT 9 9" xfId="376"/>
    <cellStyle name="SUBTIT 9 9 2" xfId="1136"/>
    <cellStyle name="SUBTIT 9 9 3" xfId="1769"/>
    <cellStyle name="SUBTIT 9 9 4" xfId="2418"/>
    <cellStyle name="TableStyleLight1" xfId="35"/>
    <cellStyle name="Texto de Aviso" xfId="219" builtinId="11" customBuiltin="1"/>
    <cellStyle name="Texto Explicativo" xfId="221" builtinId="53" customBuiltin="1"/>
    <cellStyle name="Título 1" xfId="207" builtinId="16" customBuiltin="1"/>
    <cellStyle name="Título 1 1" xfId="136"/>
    <cellStyle name="Título 1 1 1" xfId="137"/>
    <cellStyle name="Título 1 1 1 1" xfId="138"/>
    <cellStyle name="Título 1 1 1 1 1" xfId="139"/>
    <cellStyle name="Título 1 1 1 1 1 1" xfId="140"/>
    <cellStyle name="Título 1 1 1 1 1 1 1" xfId="141"/>
    <cellStyle name="Título 1 1 1 1 1 1 1 1" xfId="142"/>
    <cellStyle name="Título 1 1 1 1 1 1 1 1 1" xfId="143"/>
    <cellStyle name="Título 1 1 1 1 1 1 1 1 1 1" xfId="144"/>
    <cellStyle name="Título 1 1 1 1 1 1 1 1 1 1 1" xfId="145"/>
    <cellStyle name="Título 1 1 1 1 1 1 1 1 1 1 1 1" xfId="146"/>
    <cellStyle name="Título 1 1 1 1 1 1 1 1 1 1 1 1 1" xfId="147"/>
    <cellStyle name="Título 1 1 1 1 1 1 1 1 1 1 1 1 1 1" xfId="148"/>
    <cellStyle name="Título 1 1 1 1 1 1 1 1 1 1 1 1 1 1 1" xfId="149"/>
    <cellStyle name="Título 1 1 1 1 1 1 1 1 1 1 1 1 1 1 1 1" xfId="150"/>
    <cellStyle name="Título 1 1 1 1 1 1 1 1 1 1 1 1 1 1 1 1 1" xfId="151"/>
    <cellStyle name="Título 1 1 1 1 1 1 1 1 1 1 1 1 1 1 1 1 1 1" xfId="152"/>
    <cellStyle name="Título 1 1 1 1 1 1 1 1 1 1 1 1 1 1 1 1 1 1 1" xfId="153"/>
    <cellStyle name="Título 1 1 1 1 1 1 1 1 1 1 1 1 1 1 1 1 1 1 1 1" xfId="154"/>
    <cellStyle name="Título 1 1 1 1 1 1 1 1 1 1 1 1 1 1 1 1 1 1 1 1 1" xfId="155"/>
    <cellStyle name="Título 2" xfId="208" builtinId="17" customBuiltin="1"/>
    <cellStyle name="Título 3" xfId="209" builtinId="18" customBuiltin="1"/>
    <cellStyle name="Título 4" xfId="210" builtinId="19" customBuiltin="1"/>
    <cellStyle name="Título 5" xfId="252"/>
    <cellStyle name="Total" xfId="222" builtinId="25" customBuiltin="1"/>
    <cellStyle name="Vírgula" xfId="26" builtinId="3"/>
    <cellStyle name="Vírgula 10" xfId="156"/>
    <cellStyle name="Vírgula 10 2" xfId="157"/>
    <cellStyle name="Vírgula 10 2 2" xfId="194"/>
    <cellStyle name="Vírgula 10 2 2 2" xfId="271"/>
    <cellStyle name="Vírgula 10 2 2 2 2" xfId="341"/>
    <cellStyle name="Vírgula 10 2 2 2 2 2" xfId="562"/>
    <cellStyle name="Vírgula 10 2 2 2 2 2 2" xfId="1313"/>
    <cellStyle name="Vírgula 10 2 2 2 2 2 3" xfId="2604"/>
    <cellStyle name="Vírgula 10 2 2 2 2 3" xfId="1103"/>
    <cellStyle name="Vírgula 10 2 2 2 2 4" xfId="2384"/>
    <cellStyle name="Vírgula 10 2 2 2 3" xfId="492"/>
    <cellStyle name="Vírgula 10 2 2 2 3 2" xfId="1248"/>
    <cellStyle name="Vírgula 10 2 2 2 3 3" xfId="2534"/>
    <cellStyle name="Vírgula 10 2 2 2 4" xfId="1038"/>
    <cellStyle name="Vírgula 10 2 2 2 5" xfId="2320"/>
    <cellStyle name="Vírgula 10 2 2 3" xfId="305"/>
    <cellStyle name="Vírgula 10 2 2 3 2" xfId="526"/>
    <cellStyle name="Vírgula 10 2 2 3 2 2" xfId="1280"/>
    <cellStyle name="Vírgula 10 2 2 3 2 3" xfId="2568"/>
    <cellStyle name="Vírgula 10 2 2 3 3" xfId="1070"/>
    <cellStyle name="Vírgula 10 2 2 3 4" xfId="2348"/>
    <cellStyle name="Vírgula 10 2 2 4" xfId="443"/>
    <cellStyle name="Vírgula 10 2 2 4 2" xfId="1202"/>
    <cellStyle name="Vírgula 10 2 2 4 3" xfId="2485"/>
    <cellStyle name="Vírgula 10 2 2 5" xfId="1005"/>
    <cellStyle name="Vírgula 10 2 2 6" xfId="2290"/>
    <cellStyle name="Vírgula 10 2 3" xfId="206"/>
    <cellStyle name="Vírgula 10 2 3 2" xfId="317"/>
    <cellStyle name="Vírgula 10 2 3 2 2" xfId="538"/>
    <cellStyle name="Vírgula 10 2 3 2 2 2" xfId="1291"/>
    <cellStyle name="Vírgula 10 2 3 2 2 3" xfId="2580"/>
    <cellStyle name="Vírgula 10 2 3 2 3" xfId="1081"/>
    <cellStyle name="Vírgula 10 2 3 2 4" xfId="2360"/>
    <cellStyle name="Vírgula 10 2 3 3" xfId="454"/>
    <cellStyle name="Vírgula 10 2 3 3 2" xfId="1212"/>
    <cellStyle name="Vírgula 10 2 3 3 3" xfId="2496"/>
    <cellStyle name="Vírgula 10 2 3 4" xfId="1016"/>
    <cellStyle name="Vírgula 10 2 3 5" xfId="2298"/>
    <cellStyle name="Vírgula 10 2 4" xfId="251"/>
    <cellStyle name="Vírgula 10 2 4 2" xfId="322"/>
    <cellStyle name="Vírgula 10 2 4 2 2" xfId="543"/>
    <cellStyle name="Vírgula 10 2 4 2 2 2" xfId="1295"/>
    <cellStyle name="Vírgula 10 2 4 2 2 3" xfId="2585"/>
    <cellStyle name="Vírgula 10 2 4 2 3" xfId="1085"/>
    <cellStyle name="Vírgula 10 2 4 2 4" xfId="2365"/>
    <cellStyle name="Vírgula 10 2 4 3" xfId="473"/>
    <cellStyle name="Vírgula 10 2 4 3 2" xfId="1230"/>
    <cellStyle name="Vírgula 10 2 4 3 3" xfId="2515"/>
    <cellStyle name="Vírgula 10 2 4 4" xfId="1020"/>
    <cellStyle name="Vírgula 10 2 4 5" xfId="2302"/>
    <cellStyle name="Vírgula 10 2 5" xfId="286"/>
    <cellStyle name="Vírgula 10 2 5 2" xfId="507"/>
    <cellStyle name="Vírgula 10 2 5 2 2" xfId="1262"/>
    <cellStyle name="Vírgula 10 2 5 2 3" xfId="2549"/>
    <cellStyle name="Vírgula 10 2 5 3" xfId="1052"/>
    <cellStyle name="Vírgula 10 2 5 4" xfId="2329"/>
    <cellStyle name="Vírgula 10 2 6" xfId="421"/>
    <cellStyle name="Vírgula 10 2 6 2" xfId="1181"/>
    <cellStyle name="Vírgula 10 2 6 3" xfId="2463"/>
    <cellStyle name="Vírgula 10 2 7" xfId="987"/>
    <cellStyle name="Vírgula 10 2 8" xfId="2271"/>
    <cellStyle name="Vírgula 10 3" xfId="193"/>
    <cellStyle name="Vírgula 10 3 2" xfId="270"/>
    <cellStyle name="Vírgula 10 3 2 2" xfId="340"/>
    <cellStyle name="Vírgula 10 3 2 2 2" xfId="561"/>
    <cellStyle name="Vírgula 10 3 2 2 2 2" xfId="1312"/>
    <cellStyle name="Vírgula 10 3 2 2 2 3" xfId="2603"/>
    <cellStyle name="Vírgula 10 3 2 2 3" xfId="1102"/>
    <cellStyle name="Vírgula 10 3 2 2 4" xfId="2383"/>
    <cellStyle name="Vírgula 10 3 2 3" xfId="491"/>
    <cellStyle name="Vírgula 10 3 2 3 2" xfId="1247"/>
    <cellStyle name="Vírgula 10 3 2 3 3" xfId="2533"/>
    <cellStyle name="Vírgula 10 3 2 4" xfId="1037"/>
    <cellStyle name="Vírgula 10 3 2 5" xfId="2319"/>
    <cellStyle name="Vírgula 10 3 3" xfId="304"/>
    <cellStyle name="Vírgula 10 3 3 2" xfId="525"/>
    <cellStyle name="Vírgula 10 3 3 2 2" xfId="1279"/>
    <cellStyle name="Vírgula 10 3 3 2 3" xfId="2567"/>
    <cellStyle name="Vírgula 10 3 3 3" xfId="1069"/>
    <cellStyle name="Vírgula 10 3 3 4" xfId="2347"/>
    <cellStyle name="Vírgula 10 3 4" xfId="442"/>
    <cellStyle name="Vírgula 10 3 4 2" xfId="1201"/>
    <cellStyle name="Vírgula 10 3 4 3" xfId="2484"/>
    <cellStyle name="Vírgula 10 3 5" xfId="1004"/>
    <cellStyle name="Vírgula 10 3 6" xfId="2289"/>
    <cellStyle name="Vírgula 10 4" xfId="205"/>
    <cellStyle name="Vírgula 10 4 2" xfId="316"/>
    <cellStyle name="Vírgula 10 4 2 2" xfId="537"/>
    <cellStyle name="Vírgula 10 4 2 2 2" xfId="1290"/>
    <cellStyle name="Vírgula 10 4 2 2 3" xfId="2579"/>
    <cellStyle name="Vírgula 10 4 2 3" xfId="1080"/>
    <cellStyle name="Vírgula 10 4 2 4" xfId="2359"/>
    <cellStyle name="Vírgula 10 4 3" xfId="453"/>
    <cellStyle name="Vírgula 10 4 3 2" xfId="1211"/>
    <cellStyle name="Vírgula 10 4 3 3" xfId="2495"/>
    <cellStyle name="Vírgula 10 4 4" xfId="1015"/>
    <cellStyle name="Vírgula 10 4 5" xfId="2297"/>
    <cellStyle name="Vírgula 10 5" xfId="250"/>
    <cellStyle name="Vírgula 10 5 2" xfId="321"/>
    <cellStyle name="Vírgula 10 5 2 2" xfId="542"/>
    <cellStyle name="Vírgula 10 5 2 2 2" xfId="1294"/>
    <cellStyle name="Vírgula 10 5 2 2 3" xfId="2584"/>
    <cellStyle name="Vírgula 10 5 2 3" xfId="1084"/>
    <cellStyle name="Vírgula 10 5 2 4" xfId="2364"/>
    <cellStyle name="Vírgula 10 5 3" xfId="472"/>
    <cellStyle name="Vírgula 10 5 3 2" xfId="1229"/>
    <cellStyle name="Vírgula 10 5 3 3" xfId="2514"/>
    <cellStyle name="Vírgula 10 5 4" xfId="1019"/>
    <cellStyle name="Vírgula 10 5 5" xfId="2301"/>
    <cellStyle name="Vírgula 10 6" xfId="285"/>
    <cellStyle name="Vírgula 10 6 2" xfId="506"/>
    <cellStyle name="Vírgula 10 6 2 2" xfId="1261"/>
    <cellStyle name="Vírgula 10 6 2 3" xfId="2548"/>
    <cellStyle name="Vírgula 10 6 3" xfId="1051"/>
    <cellStyle name="Vírgula 10 6 4" xfId="2328"/>
    <cellStyle name="Vírgula 10 7" xfId="420"/>
    <cellStyle name="Vírgula 10 7 2" xfId="1180"/>
    <cellStyle name="Vírgula 10 7 3" xfId="2462"/>
    <cellStyle name="Vírgula 10 8" xfId="986"/>
    <cellStyle name="Vírgula 10 9" xfId="2270"/>
    <cellStyle name="Vírgula 11" xfId="201"/>
    <cellStyle name="Vírgula 11 2" xfId="312"/>
    <cellStyle name="Vírgula 11 2 2" xfId="533"/>
    <cellStyle name="Vírgula 11 2 2 2" xfId="1287"/>
    <cellStyle name="Vírgula 11 2 2 3" xfId="2575"/>
    <cellStyle name="Vírgula 11 2 3" xfId="1077"/>
    <cellStyle name="Vírgula 11 2 4" xfId="2355"/>
    <cellStyle name="Vírgula 11 3" xfId="449"/>
    <cellStyle name="Vírgula 11 3 2" xfId="1208"/>
    <cellStyle name="Vírgula 11 3 3" xfId="2491"/>
    <cellStyle name="Vírgula 11 4" xfId="1012"/>
    <cellStyle name="Vírgula 11 5" xfId="2295"/>
    <cellStyle name="Vírgula 12" xfId="247"/>
    <cellStyle name="Vírgula 12 2" xfId="318"/>
    <cellStyle name="Vírgula 12 2 2" xfId="539"/>
    <cellStyle name="Vírgula 12 2 2 2" xfId="1292"/>
    <cellStyle name="Vírgula 12 2 2 3" xfId="2581"/>
    <cellStyle name="Vírgula 12 2 3" xfId="1082"/>
    <cellStyle name="Vírgula 12 2 4" xfId="2361"/>
    <cellStyle name="Vírgula 12 3" xfId="469"/>
    <cellStyle name="Vírgula 12 3 2" xfId="1227"/>
    <cellStyle name="Vírgula 12 3 3" xfId="2511"/>
    <cellStyle name="Vírgula 12 4" xfId="1017"/>
    <cellStyle name="Vírgula 12 5" xfId="2299"/>
    <cellStyle name="Vírgula 13" xfId="282"/>
    <cellStyle name="Vírgula 13 2" xfId="503"/>
    <cellStyle name="Vírgula 13 2 2" xfId="1259"/>
    <cellStyle name="Vírgula 13 2 3" xfId="2545"/>
    <cellStyle name="Vírgula 13 3" xfId="1049"/>
    <cellStyle name="Vírgula 13 4" xfId="2325"/>
    <cellStyle name="Vírgula 14" xfId="364"/>
    <cellStyle name="Vírgula 14 2" xfId="1125"/>
    <cellStyle name="Vírgula 14 3" xfId="2406"/>
    <cellStyle name="Vírgula 15" xfId="984"/>
    <cellStyle name="Vírgula 16" xfId="2267"/>
    <cellStyle name="Vírgula 2" xfId="22"/>
    <cellStyle name="Vírgula 2 2" xfId="177"/>
    <cellStyle name="Vírgula 2 2 2" xfId="255"/>
    <cellStyle name="Vírgula 2 2 2 2" xfId="325"/>
    <cellStyle name="Vírgula 2 2 2 2 2" xfId="546"/>
    <cellStyle name="Vírgula 2 2 2 2 2 2" xfId="1298"/>
    <cellStyle name="Vírgula 2 2 2 2 2 3" xfId="2588"/>
    <cellStyle name="Vírgula 2 2 2 2 3" xfId="1088"/>
    <cellStyle name="Vírgula 2 2 2 2 4" xfId="2368"/>
    <cellStyle name="Vírgula 2 2 2 3" xfId="476"/>
    <cellStyle name="Vírgula 2 2 2 3 2" xfId="1233"/>
    <cellStyle name="Vírgula 2 2 2 3 3" xfId="2518"/>
    <cellStyle name="Vírgula 2 2 2 4" xfId="1023"/>
    <cellStyle name="Vírgula 2 2 2 5" xfId="2305"/>
    <cellStyle name="Vírgula 2 2 3" xfId="289"/>
    <cellStyle name="Vírgula 2 2 3 2" xfId="510"/>
    <cellStyle name="Vírgula 2 2 3 2 2" xfId="1265"/>
    <cellStyle name="Vírgula 2 2 3 2 3" xfId="2552"/>
    <cellStyle name="Vírgula 2 2 3 3" xfId="1055"/>
    <cellStyle name="Vírgula 2 2 3 4" xfId="2332"/>
    <cellStyle name="Vírgula 2 2 4" xfId="427"/>
    <cellStyle name="Vírgula 2 2 4 2" xfId="1187"/>
    <cellStyle name="Vírgula 2 2 4 3" xfId="2469"/>
    <cellStyle name="Vírgula 2 2 5" xfId="990"/>
    <cellStyle name="Vírgula 2 2 6" xfId="2274"/>
    <cellStyle name="Vírgula 3" xfId="25"/>
    <cellStyle name="Vírgula 3 2" xfId="29"/>
    <cellStyle name="Vírgula 3 2 2" xfId="183"/>
    <cellStyle name="Vírgula 3 2 2 2" xfId="260"/>
    <cellStyle name="Vírgula 3 2 2 2 2" xfId="330"/>
    <cellStyle name="Vírgula 3 2 2 2 2 2" xfId="551"/>
    <cellStyle name="Vírgula 3 2 2 2 2 2 2" xfId="1302"/>
    <cellStyle name="Vírgula 3 2 2 2 2 2 3" xfId="2593"/>
    <cellStyle name="Vírgula 3 2 2 2 2 3" xfId="1092"/>
    <cellStyle name="Vírgula 3 2 2 2 2 4" xfId="2373"/>
    <cellStyle name="Vírgula 3 2 2 2 3" xfId="481"/>
    <cellStyle name="Vírgula 3 2 2 2 3 2" xfId="1237"/>
    <cellStyle name="Vírgula 3 2 2 2 3 3" xfId="2523"/>
    <cellStyle name="Vírgula 3 2 2 2 4" xfId="1027"/>
    <cellStyle name="Vírgula 3 2 2 2 5" xfId="2310"/>
    <cellStyle name="Vírgula 3 2 2 3" xfId="294"/>
    <cellStyle name="Vírgula 3 2 2 3 2" xfId="515"/>
    <cellStyle name="Vírgula 3 2 2 3 2 2" xfId="1269"/>
    <cellStyle name="Vírgula 3 2 2 3 2 3" xfId="2557"/>
    <cellStyle name="Vírgula 3 2 2 3 3" xfId="1059"/>
    <cellStyle name="Vírgula 3 2 2 3 4" xfId="2337"/>
    <cellStyle name="Vírgula 3 2 2 4" xfId="432"/>
    <cellStyle name="Vírgula 3 2 2 4 2" xfId="1191"/>
    <cellStyle name="Vírgula 3 2 2 4 3" xfId="2474"/>
    <cellStyle name="Vírgula 3 2 2 5" xfId="994"/>
    <cellStyle name="Vírgula 3 2 2 6" xfId="2279"/>
    <cellStyle name="Vírgula 3 3" xfId="180"/>
    <cellStyle name="Vírgula 3 3 2" xfId="257"/>
    <cellStyle name="Vírgula 3 3 2 2" xfId="327"/>
    <cellStyle name="Vírgula 3 3 2 2 2" xfId="548"/>
    <cellStyle name="Vírgula 3 3 2 2 2 2" xfId="1300"/>
    <cellStyle name="Vírgula 3 3 2 2 2 3" xfId="2590"/>
    <cellStyle name="Vírgula 3 3 2 2 3" xfId="1090"/>
    <cellStyle name="Vírgula 3 3 2 2 4" xfId="2370"/>
    <cellStyle name="Vírgula 3 3 2 3" xfId="478"/>
    <cellStyle name="Vírgula 3 3 2 3 2" xfId="1235"/>
    <cellStyle name="Vírgula 3 3 2 3 3" xfId="2520"/>
    <cellStyle name="Vírgula 3 3 2 4" xfId="1025"/>
    <cellStyle name="Vírgula 3 3 2 5" xfId="2307"/>
    <cellStyle name="Vírgula 3 3 3" xfId="291"/>
    <cellStyle name="Vírgula 3 3 3 2" xfId="512"/>
    <cellStyle name="Vírgula 3 3 3 2 2" xfId="1267"/>
    <cellStyle name="Vírgula 3 3 3 2 3" xfId="2554"/>
    <cellStyle name="Vírgula 3 3 3 3" xfId="1057"/>
    <cellStyle name="Vírgula 3 3 3 4" xfId="2334"/>
    <cellStyle name="Vírgula 3 3 4" xfId="429"/>
    <cellStyle name="Vírgula 3 3 4 2" xfId="1189"/>
    <cellStyle name="Vírgula 3 3 4 3" xfId="2471"/>
    <cellStyle name="Vírgula 3 3 5" xfId="992"/>
    <cellStyle name="Vírgula 3 3 6" xfId="2276"/>
    <cellStyle name="Vírgula 4" xfId="44"/>
    <cellStyle name="Vírgula 4 2" xfId="164"/>
    <cellStyle name="Vírgula 4 3" xfId="184"/>
    <cellStyle name="Vírgula 4 3 2" xfId="261"/>
    <cellStyle name="Vírgula 4 3 2 2" xfId="331"/>
    <cellStyle name="Vírgula 4 3 2 2 2" xfId="552"/>
    <cellStyle name="Vírgula 4 3 2 2 2 2" xfId="1303"/>
    <cellStyle name="Vírgula 4 3 2 2 2 3" xfId="2594"/>
    <cellStyle name="Vírgula 4 3 2 2 3" xfId="1093"/>
    <cellStyle name="Vírgula 4 3 2 2 4" xfId="2374"/>
    <cellStyle name="Vírgula 4 3 2 3" xfId="482"/>
    <cellStyle name="Vírgula 4 3 2 3 2" xfId="1238"/>
    <cellStyle name="Vírgula 4 3 2 3 3" xfId="2524"/>
    <cellStyle name="Vírgula 4 3 2 4" xfId="1028"/>
    <cellStyle name="Vírgula 4 3 2 5" xfId="2311"/>
    <cellStyle name="Vírgula 4 3 3" xfId="295"/>
    <cellStyle name="Vírgula 4 3 3 2" xfId="516"/>
    <cellStyle name="Vírgula 4 3 3 2 2" xfId="1270"/>
    <cellStyle name="Vírgula 4 3 3 2 3" xfId="2558"/>
    <cellStyle name="Vírgula 4 3 3 3" xfId="1060"/>
    <cellStyle name="Vírgula 4 3 3 4" xfId="2338"/>
    <cellStyle name="Vírgula 4 3 4" xfId="433"/>
    <cellStyle name="Vírgula 4 3 4 2" xfId="1192"/>
    <cellStyle name="Vírgula 4 3 4 3" xfId="2475"/>
    <cellStyle name="Vírgula 4 3 5" xfId="995"/>
    <cellStyle name="Vírgula 4 3 6" xfId="2280"/>
    <cellStyle name="Vírgula 5" xfId="158"/>
    <cellStyle name="Vírgula 5 2" xfId="195"/>
    <cellStyle name="Vírgula 5 2 2" xfId="272"/>
    <cellStyle name="Vírgula 5 2 2 2" xfId="342"/>
    <cellStyle name="Vírgula 5 2 2 2 2" xfId="563"/>
    <cellStyle name="Vírgula 5 2 2 2 2 2" xfId="1314"/>
    <cellStyle name="Vírgula 5 2 2 2 2 3" xfId="2605"/>
    <cellStyle name="Vírgula 5 2 2 2 3" xfId="1104"/>
    <cellStyle name="Vírgula 5 2 2 2 4" xfId="2385"/>
    <cellStyle name="Vírgula 5 2 2 3" xfId="493"/>
    <cellStyle name="Vírgula 5 2 2 3 2" xfId="1249"/>
    <cellStyle name="Vírgula 5 2 2 3 3" xfId="2535"/>
    <cellStyle name="Vírgula 5 2 2 4" xfId="1039"/>
    <cellStyle name="Vírgula 5 2 2 5" xfId="2321"/>
    <cellStyle name="Vírgula 5 2 3" xfId="306"/>
    <cellStyle name="Vírgula 5 2 3 2" xfId="527"/>
    <cellStyle name="Vírgula 5 2 3 2 2" xfId="1281"/>
    <cellStyle name="Vírgula 5 2 3 2 3" xfId="2569"/>
    <cellStyle name="Vírgula 5 2 3 3" xfId="1071"/>
    <cellStyle name="Vírgula 5 2 3 4" xfId="2349"/>
    <cellStyle name="Vírgula 5 2 4" xfId="444"/>
    <cellStyle name="Vírgula 5 2 4 2" xfId="1203"/>
    <cellStyle name="Vírgula 5 2 4 3" xfId="2486"/>
    <cellStyle name="Vírgula 5 2 5" xfId="1006"/>
    <cellStyle name="Vírgula 5 2 6" xfId="2291"/>
    <cellStyle name="Vírgula 6" xfId="159"/>
    <cellStyle name="Vírgula 6 2" xfId="196"/>
    <cellStyle name="Vírgula 6 2 2" xfId="273"/>
    <cellStyle name="Vírgula 6 2 2 2" xfId="343"/>
    <cellStyle name="Vírgula 6 2 2 2 2" xfId="564"/>
    <cellStyle name="Vírgula 6 2 2 2 2 2" xfId="1315"/>
    <cellStyle name="Vírgula 6 2 2 2 2 3" xfId="2606"/>
    <cellStyle name="Vírgula 6 2 2 2 3" xfId="1105"/>
    <cellStyle name="Vírgula 6 2 2 2 4" xfId="2386"/>
    <cellStyle name="Vírgula 6 2 2 3" xfId="494"/>
    <cellStyle name="Vírgula 6 2 2 3 2" xfId="1250"/>
    <cellStyle name="Vírgula 6 2 2 3 3" xfId="2536"/>
    <cellStyle name="Vírgula 6 2 2 4" xfId="1040"/>
    <cellStyle name="Vírgula 6 2 2 5" xfId="2322"/>
    <cellStyle name="Vírgula 6 2 3" xfId="307"/>
    <cellStyle name="Vírgula 6 2 3 2" xfId="528"/>
    <cellStyle name="Vírgula 6 2 3 2 2" xfId="1282"/>
    <cellStyle name="Vírgula 6 2 3 2 3" xfId="2570"/>
    <cellStyle name="Vírgula 6 2 3 3" xfId="1072"/>
    <cellStyle name="Vírgula 6 2 3 4" xfId="2350"/>
    <cellStyle name="Vírgula 6 2 4" xfId="445"/>
    <cellStyle name="Vírgula 6 2 4 2" xfId="1204"/>
    <cellStyle name="Vírgula 6 2 4 3" xfId="2487"/>
    <cellStyle name="Vírgula 6 2 5" xfId="1007"/>
    <cellStyle name="Vírgula 6 2 6" xfId="2292"/>
    <cellStyle name="Vírgula 7" xfId="160"/>
    <cellStyle name="Vírgula 7 2" xfId="197"/>
    <cellStyle name="Vírgula 7 2 2" xfId="274"/>
    <cellStyle name="Vírgula 7 2 2 2" xfId="344"/>
    <cellStyle name="Vírgula 7 2 2 2 2" xfId="565"/>
    <cellStyle name="Vírgula 7 2 2 2 2 2" xfId="1316"/>
    <cellStyle name="Vírgula 7 2 2 2 2 3" xfId="2607"/>
    <cellStyle name="Vírgula 7 2 2 2 3" xfId="1106"/>
    <cellStyle name="Vírgula 7 2 2 2 4" xfId="2387"/>
    <cellStyle name="Vírgula 7 2 2 3" xfId="495"/>
    <cellStyle name="Vírgula 7 2 2 3 2" xfId="1251"/>
    <cellStyle name="Vírgula 7 2 2 3 3" xfId="2537"/>
    <cellStyle name="Vírgula 7 2 2 4" xfId="1041"/>
    <cellStyle name="Vírgula 7 2 2 5" xfId="2323"/>
    <cellStyle name="Vírgula 7 2 3" xfId="308"/>
    <cellStyle name="Vírgula 7 2 3 2" xfId="529"/>
    <cellStyle name="Vírgula 7 2 3 2 2" xfId="1283"/>
    <cellStyle name="Vírgula 7 2 3 2 3" xfId="2571"/>
    <cellStyle name="Vírgula 7 2 3 3" xfId="1073"/>
    <cellStyle name="Vírgula 7 2 3 4" xfId="2351"/>
    <cellStyle name="Vírgula 7 2 4" xfId="446"/>
    <cellStyle name="Vírgula 7 2 4 2" xfId="1205"/>
    <cellStyle name="Vírgula 7 2 4 3" xfId="2488"/>
    <cellStyle name="Vírgula 7 2 5" xfId="1008"/>
    <cellStyle name="Vírgula 7 2 6" xfId="2293"/>
    <cellStyle name="Vírgula 8" xfId="161"/>
    <cellStyle name="Vírgula 8 2" xfId="198"/>
    <cellStyle name="Vírgula 8 2 2" xfId="275"/>
    <cellStyle name="Vírgula 8 2 2 2" xfId="345"/>
    <cellStyle name="Vírgula 8 2 2 2 2" xfId="566"/>
    <cellStyle name="Vírgula 8 2 2 2 2 2" xfId="1317"/>
    <cellStyle name="Vírgula 8 2 2 2 2 3" xfId="2608"/>
    <cellStyle name="Vírgula 8 2 2 2 3" xfId="1107"/>
    <cellStyle name="Vírgula 8 2 2 2 4" xfId="2388"/>
    <cellStyle name="Vírgula 8 2 2 3" xfId="496"/>
    <cellStyle name="Vírgula 8 2 2 3 2" xfId="1252"/>
    <cellStyle name="Vírgula 8 2 2 3 3" xfId="2538"/>
    <cellStyle name="Vírgula 8 2 2 4" xfId="1042"/>
    <cellStyle name="Vírgula 8 2 2 5" xfId="2324"/>
    <cellStyle name="Vírgula 8 2 3" xfId="309"/>
    <cellStyle name="Vírgula 8 2 3 2" xfId="530"/>
    <cellStyle name="Vírgula 8 2 3 2 2" xfId="1284"/>
    <cellStyle name="Vírgula 8 2 3 2 3" xfId="2572"/>
    <cellStyle name="Vírgula 8 2 3 3" xfId="1074"/>
    <cellStyle name="Vírgula 8 2 3 4" xfId="2352"/>
    <cellStyle name="Vírgula 8 2 4" xfId="447"/>
    <cellStyle name="Vírgula 8 2 4 2" xfId="1206"/>
    <cellStyle name="Vírgula 8 2 4 3" xfId="2489"/>
    <cellStyle name="Vírgula 8 2 5" xfId="1009"/>
    <cellStyle name="Vírgula 8 2 6" xfId="2294"/>
    <cellStyle name="Vírgula 9" xfId="181"/>
    <cellStyle name="Vírgula 9 2" xfId="258"/>
    <cellStyle name="Vírgula 9 2 2" xfId="328"/>
    <cellStyle name="Vírgula 9 2 2 2" xfId="549"/>
    <cellStyle name="Vírgula 9 2 2 2 2" xfId="1301"/>
    <cellStyle name="Vírgula 9 2 2 2 3" xfId="2591"/>
    <cellStyle name="Vírgula 9 2 2 3" xfId="1091"/>
    <cellStyle name="Vírgula 9 2 2 4" xfId="2371"/>
    <cellStyle name="Vírgula 9 2 3" xfId="479"/>
    <cellStyle name="Vírgula 9 2 3 2" xfId="1236"/>
    <cellStyle name="Vírgula 9 2 3 3" xfId="2521"/>
    <cellStyle name="Vírgula 9 2 4" xfId="1026"/>
    <cellStyle name="Vírgula 9 2 5" xfId="2308"/>
    <cellStyle name="Vírgula 9 3" xfId="292"/>
    <cellStyle name="Vírgula 9 3 2" xfId="513"/>
    <cellStyle name="Vírgula 9 3 2 2" xfId="1268"/>
    <cellStyle name="Vírgula 9 3 2 3" xfId="2555"/>
    <cellStyle name="Vírgula 9 3 3" xfId="1058"/>
    <cellStyle name="Vírgula 9 3 4" xfId="2335"/>
    <cellStyle name="Vírgula 9 4" xfId="430"/>
    <cellStyle name="Vírgula 9 4 2" xfId="1190"/>
    <cellStyle name="Vírgula 9 4 3" xfId="2472"/>
    <cellStyle name="Vírgula 9 5" xfId="993"/>
    <cellStyle name="Vírgula 9 6" xfId="2277"/>
    <cellStyle name="Vírgula0" xfId="23"/>
    <cellStyle name="Vírgula0 2" xfId="178"/>
  </cellStyles>
  <dxfs count="798"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5" Type="http://schemas.openxmlformats.org/officeDocument/2006/relationships/chartsheet" Target="chartsheets/sheet1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GASTOS (R$)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0EE-4970-B8C4-CBEC8C5F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42016"/>
        <c:axId val="203243904"/>
      </c:barChart>
      <c:catAx>
        <c:axId val="21194201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crossAx val="203243904"/>
        <c:crosses val="autoZero"/>
        <c:auto val="1"/>
        <c:lblAlgn val="ctr"/>
        <c:lblOffset val="100"/>
        <c:noMultiLvlLbl val="0"/>
      </c:catAx>
      <c:valAx>
        <c:axId val="20324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94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COMPOSIÇÕES!#REF!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6A2-48F9-8F39-2EC87A7A0654}"/>
            </c:ext>
          </c:extLst>
        </c:ser>
        <c:ser>
          <c:idx val="1"/>
          <c:order val="1"/>
          <c:invertIfNegative val="0"/>
          <c:val>
            <c:numRef>
              <c:f>COMPOSIÇÕES!#REF!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6A2-48F9-8F39-2EC87A7A0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95872"/>
        <c:axId val="213697664"/>
      </c:barChart>
      <c:catAx>
        <c:axId val="21369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697664"/>
        <c:crosses val="autoZero"/>
        <c:auto val="1"/>
        <c:lblAlgn val="ctr"/>
        <c:lblOffset val="100"/>
        <c:noMultiLvlLbl val="0"/>
      </c:catAx>
      <c:valAx>
        <c:axId val="2136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9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customSheetViews>
    <customSheetView guid="{BF95D06F-A801-4955-B76D-3C2C36D85037}" scale="122" state="hidden" zoomToFit="1">
      <pageMargins left="0.511811024" right="0.511811024" top="0.78740157499999996" bottom="0.78740157499999996" header="0.31496062000000002" footer="0.31496062000000002"/>
    </customSheetView>
    <customSheetView guid="{385977A3-6FE9-40C9-8548-2B73DA2662B2}" scale="122" state="hidden" zoomToFit="1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452437</xdr:rowOff>
    </xdr:from>
    <xdr:to>
      <xdr:col>1</xdr:col>
      <xdr:colOff>5212027</xdr:colOff>
      <xdr:row>0</xdr:row>
      <xdr:rowOff>2587623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3313" y="452437"/>
          <a:ext cx="4164277" cy="2135186"/>
        </a:xfrm>
        <a:prstGeom prst="rect">
          <a:avLst/>
        </a:prstGeom>
      </xdr:spPr>
    </xdr:pic>
    <xdr:clientData/>
  </xdr:twoCellAnchor>
  <xdr:twoCellAnchor editAs="oneCell">
    <xdr:from>
      <xdr:col>9</xdr:col>
      <xdr:colOff>79376</xdr:colOff>
      <xdr:row>0</xdr:row>
      <xdr:rowOff>299668</xdr:rowOff>
    </xdr:from>
    <xdr:to>
      <xdr:col>10</xdr:col>
      <xdr:colOff>1660506</xdr:colOff>
      <xdr:row>0</xdr:row>
      <xdr:rowOff>2439351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63501" y="299668"/>
          <a:ext cx="3343255" cy="2139683"/>
        </a:xfrm>
        <a:prstGeom prst="rect">
          <a:avLst/>
        </a:prstGeom>
      </xdr:spPr>
    </xdr:pic>
    <xdr:clientData/>
  </xdr:twoCellAnchor>
  <xdr:twoCellAnchor editAs="oneCell">
    <xdr:from>
      <xdr:col>7</xdr:col>
      <xdr:colOff>150813</xdr:colOff>
      <xdr:row>0</xdr:row>
      <xdr:rowOff>454708</xdr:rowOff>
    </xdr:from>
    <xdr:to>
      <xdr:col>8</xdr:col>
      <xdr:colOff>1675753</xdr:colOff>
      <xdr:row>0</xdr:row>
      <xdr:rowOff>2402181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3563" y="454708"/>
          <a:ext cx="3287065" cy="1947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207818</xdr:colOff>
      <xdr:row>31</xdr:row>
      <xdr:rowOff>73847</xdr:rowOff>
    </xdr:from>
    <xdr:to>
      <xdr:col>10</xdr:col>
      <xdr:colOff>968580</xdr:colOff>
      <xdr:row>64</xdr:row>
      <xdr:rowOff>69273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857250</xdr:colOff>
      <xdr:row>0</xdr:row>
      <xdr:rowOff>258535</xdr:rowOff>
    </xdr:from>
    <xdr:to>
      <xdr:col>15</xdr:col>
      <xdr:colOff>938893</xdr:colOff>
      <xdr:row>0</xdr:row>
      <xdr:rowOff>721178</xdr:rowOff>
    </xdr:to>
    <xdr:sp macro="[0]!planresumolinha8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4878050" y="258535"/>
          <a:ext cx="1681843" cy="462643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REPLICAR</a:t>
          </a:r>
          <a:r>
            <a:rPr lang="pt-BR" sz="1100" baseline="0"/>
            <a:t> LINHA 8 PARA AS RESTANTES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55</xdr:row>
      <xdr:rowOff>171450</xdr:rowOff>
    </xdr:from>
    <xdr:to>
      <xdr:col>1</xdr:col>
      <xdr:colOff>133350</xdr:colOff>
      <xdr:row>70</xdr:row>
      <xdr:rowOff>95250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10825"/>
          <a:ext cx="523875" cy="278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91</xdr:row>
      <xdr:rowOff>171450</xdr:rowOff>
    </xdr:from>
    <xdr:to>
      <xdr:col>1</xdr:col>
      <xdr:colOff>133350</xdr:colOff>
      <xdr:row>103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268825"/>
          <a:ext cx="52387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025328" cy="618344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%20Leonardo/Desktop/Planilha%20Or&#231;ament&#225;ria-MAR&#199;O%202016-vergas%20estava%20errado-REV%20-%20Cop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balho/Documents/Trabalho/CONCLUIDOS/METAS%20ENTREGUES/8-RELAT&#211;RIO%20LOT.%20FERNANDES/ATUAL/FERNANDEZ%20RESTABELECI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 FIN  - 18 MESES "/>
      <sheetName val="RESUMO"/>
      <sheetName val="ORÇAMENTO"/>
      <sheetName val="Cotações"/>
      <sheetName val="CURVA ABC"/>
      <sheetName val="ITEM MAIOR"/>
      <sheetName val="COMPOSIÇÕES"/>
      <sheetName val="MEMORIA DE CALCULO"/>
      <sheetName val="ADM"/>
      <sheetName val="INCC"/>
      <sheetName val="LISTA"/>
      <sheetName val="ITEN DE MAIOR"/>
      <sheetName val="CRON FIN - 5 MESES"/>
      <sheetName val="auxiliar memoria"/>
      <sheetName val="SINAPI COMPOSIÇÕES"/>
      <sheetName val="SINAPI INSUMO"/>
      <sheetName val="ORSE"/>
      <sheetName val="SICRO"/>
      <sheetName val="SEINF CE"/>
      <sheetName val="SINAPI"/>
      <sheetName val="AR CONDICIONADO"/>
      <sheetName val="Gráf1"/>
      <sheetName val="Plan2"/>
      <sheetName val="Plan1"/>
    </sheetNames>
    <sheetDataSet>
      <sheetData sheetId="0"/>
      <sheetData sheetId="1"/>
      <sheetData sheetId="2">
        <row r="8">
          <cell r="A8" t="str">
            <v>1.2.1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5">
          <cell r="B155" t="str">
            <v>JA01</v>
          </cell>
          <cell r="C155">
            <v>1.5</v>
          </cell>
          <cell r="D155">
            <v>1</v>
          </cell>
          <cell r="E155">
            <v>1.1000000000000001</v>
          </cell>
        </row>
        <row r="156">
          <cell r="B156" t="str">
            <v>JA02</v>
          </cell>
          <cell r="C156">
            <v>1.3</v>
          </cell>
          <cell r="D156">
            <v>0.5</v>
          </cell>
          <cell r="E156">
            <v>1.6</v>
          </cell>
        </row>
        <row r="157">
          <cell r="B157" t="str">
            <v>JA03</v>
          </cell>
          <cell r="C157">
            <v>2</v>
          </cell>
          <cell r="D157">
            <v>1</v>
          </cell>
          <cell r="E157">
            <v>1.1000000000000001</v>
          </cell>
        </row>
        <row r="158">
          <cell r="B158" t="str">
            <v>JA04</v>
          </cell>
          <cell r="C158">
            <v>3.55</v>
          </cell>
          <cell r="D158">
            <v>1</v>
          </cell>
          <cell r="E158">
            <v>1.1000000000000001</v>
          </cell>
        </row>
        <row r="159">
          <cell r="B159" t="str">
            <v>JA05</v>
          </cell>
          <cell r="C159">
            <v>0.9</v>
          </cell>
          <cell r="D159">
            <v>0.5</v>
          </cell>
          <cell r="E159">
            <v>1.6</v>
          </cell>
        </row>
        <row r="160">
          <cell r="B160" t="str">
            <v>JA06</v>
          </cell>
          <cell r="C160">
            <v>0.8</v>
          </cell>
          <cell r="D160">
            <v>0.5</v>
          </cell>
          <cell r="E160">
            <v>1.6</v>
          </cell>
        </row>
        <row r="161">
          <cell r="B161" t="str">
            <v>JA07</v>
          </cell>
          <cell r="C161">
            <v>1</v>
          </cell>
          <cell r="D161">
            <v>0.5</v>
          </cell>
          <cell r="E161">
            <v>1.6</v>
          </cell>
        </row>
        <row r="162">
          <cell r="B162" t="str">
            <v>JA08</v>
          </cell>
          <cell r="C162">
            <v>1.5</v>
          </cell>
          <cell r="D162">
            <v>0.5</v>
          </cell>
          <cell r="E162">
            <v>1.6</v>
          </cell>
        </row>
        <row r="163">
          <cell r="B163" t="str">
            <v>JA09</v>
          </cell>
          <cell r="C163">
            <v>2</v>
          </cell>
          <cell r="D163">
            <v>0.5</v>
          </cell>
          <cell r="E163">
            <v>1.6</v>
          </cell>
        </row>
        <row r="164">
          <cell r="B164" t="str">
            <v>JA10</v>
          </cell>
          <cell r="C164">
            <v>4.9499999999999993</v>
          </cell>
          <cell r="D164">
            <v>1</v>
          </cell>
          <cell r="E164">
            <v>1.1000000000000001</v>
          </cell>
        </row>
        <row r="165">
          <cell r="B165" t="str">
            <v>JANELA DA RECEPÇÃO</v>
          </cell>
          <cell r="C165">
            <v>5.84</v>
          </cell>
          <cell r="D165">
            <v>2.1</v>
          </cell>
        </row>
        <row r="169">
          <cell r="B169" t="str">
            <v>B.1.EA-19</v>
          </cell>
          <cell r="C169">
            <v>4.4800000000000004</v>
          </cell>
          <cell r="D169">
            <v>1</v>
          </cell>
          <cell r="E169">
            <v>2.1</v>
          </cell>
        </row>
        <row r="170">
          <cell r="B170" t="str">
            <v>B.1.EA-20</v>
          </cell>
          <cell r="C170">
            <v>3.48</v>
          </cell>
          <cell r="D170">
            <v>1</v>
          </cell>
          <cell r="E170">
            <v>2.1</v>
          </cell>
        </row>
        <row r="171">
          <cell r="B171" t="str">
            <v>B.1.EA-21</v>
          </cell>
          <cell r="C171">
            <v>0.9</v>
          </cell>
          <cell r="D171">
            <v>2.1</v>
          </cell>
          <cell r="E171">
            <v>2.1</v>
          </cell>
        </row>
        <row r="172">
          <cell r="B172" t="str">
            <v>B.1.EA-21.1</v>
          </cell>
          <cell r="C172">
            <v>1</v>
          </cell>
          <cell r="D172">
            <v>2.1</v>
          </cell>
          <cell r="E172">
            <v>2.1</v>
          </cell>
        </row>
        <row r="173">
          <cell r="B173" t="str">
            <v>B.2.EA-22</v>
          </cell>
          <cell r="C173">
            <v>1.5</v>
          </cell>
          <cell r="D173">
            <v>2.5</v>
          </cell>
          <cell r="E173">
            <v>2.1</v>
          </cell>
        </row>
        <row r="174">
          <cell r="B174" t="str">
            <v>B.1.VT-02</v>
          </cell>
          <cell r="C174">
            <v>0.9</v>
          </cell>
          <cell r="D174">
            <v>0.9</v>
          </cell>
          <cell r="E174">
            <v>2.1</v>
          </cell>
        </row>
        <row r="175">
          <cell r="B175" t="str">
            <v>B.1.VT-01</v>
          </cell>
          <cell r="C175">
            <v>0.9</v>
          </cell>
          <cell r="D175">
            <v>0.9</v>
          </cell>
          <cell r="E175">
            <v>2.1</v>
          </cell>
        </row>
        <row r="176">
          <cell r="B176" t="str">
            <v>B.2.VT-01</v>
          </cell>
          <cell r="C176">
            <v>13.38</v>
          </cell>
          <cell r="D176">
            <v>2.7</v>
          </cell>
        </row>
        <row r="177">
          <cell r="B177" t="str">
            <v>G.1.EA-01</v>
          </cell>
          <cell r="C177">
            <v>0.8</v>
          </cell>
          <cell r="D177">
            <v>2.1</v>
          </cell>
        </row>
        <row r="178">
          <cell r="B178" t="str">
            <v>G.1.EA-02</v>
          </cell>
          <cell r="C178">
            <v>1.6</v>
          </cell>
          <cell r="D178">
            <v>2.1</v>
          </cell>
        </row>
        <row r="179">
          <cell r="B179" t="str">
            <v>G.1.EA-03</v>
          </cell>
          <cell r="C179">
            <v>5.7</v>
          </cell>
          <cell r="D179">
            <v>1.1000000000000001</v>
          </cell>
          <cell r="E179">
            <v>2.1</v>
          </cell>
        </row>
        <row r="180">
          <cell r="B180" t="str">
            <v>G.1.EA-04</v>
          </cell>
          <cell r="C180">
            <v>2.75</v>
          </cell>
          <cell r="D180">
            <v>1.1000000000000001</v>
          </cell>
          <cell r="E180">
            <v>2.1</v>
          </cell>
        </row>
        <row r="181">
          <cell r="B181" t="str">
            <v>G.1.EA-05</v>
          </cell>
          <cell r="C181">
            <v>1.1000000000000001</v>
          </cell>
          <cell r="D181">
            <v>2.5</v>
          </cell>
        </row>
        <row r="182">
          <cell r="B182" t="str">
            <v>G.1.VT-01</v>
          </cell>
          <cell r="C182">
            <v>0.8</v>
          </cell>
          <cell r="D182">
            <v>0.8</v>
          </cell>
          <cell r="E182">
            <v>2.1</v>
          </cell>
        </row>
        <row r="183">
          <cell r="B183" t="str">
            <v>G.1.EF-01</v>
          </cell>
          <cell r="C183">
            <v>1.65</v>
          </cell>
          <cell r="D183">
            <v>1.5</v>
          </cell>
        </row>
        <row r="184">
          <cell r="B184" t="str">
            <v>H.1.GX-01</v>
          </cell>
          <cell r="C184">
            <v>2.25</v>
          </cell>
          <cell r="D184">
            <v>1</v>
          </cell>
          <cell r="E184">
            <v>1.1000000000000001</v>
          </cell>
        </row>
        <row r="185">
          <cell r="B185" t="str">
            <v>H.1.GX-02</v>
          </cell>
          <cell r="C185">
            <v>1.2</v>
          </cell>
          <cell r="D185">
            <v>1</v>
          </cell>
          <cell r="E185">
            <v>1.1000000000000001</v>
          </cell>
        </row>
        <row r="186">
          <cell r="B186" t="str">
            <v>H.1.GX-03</v>
          </cell>
          <cell r="C186">
            <v>0.95</v>
          </cell>
          <cell r="D186">
            <v>1</v>
          </cell>
          <cell r="E186">
            <v>1.1000000000000001</v>
          </cell>
        </row>
        <row r="187">
          <cell r="B187" t="str">
            <v>H.1.VS-01</v>
          </cell>
          <cell r="C187">
            <v>1.5</v>
          </cell>
          <cell r="D187">
            <v>1</v>
          </cell>
          <cell r="E187">
            <v>1.1000000000000001</v>
          </cell>
        </row>
        <row r="188">
          <cell r="B188" t="str">
            <v>H.1.EA-01</v>
          </cell>
          <cell r="C188">
            <v>0.63</v>
          </cell>
          <cell r="D188">
            <v>0.9</v>
          </cell>
          <cell r="E188">
            <v>2.1</v>
          </cell>
        </row>
        <row r="189">
          <cell r="B189" t="str">
            <v>H.1.EA-02</v>
          </cell>
          <cell r="C189">
            <v>1.6</v>
          </cell>
          <cell r="D189">
            <v>0.9</v>
          </cell>
          <cell r="E189">
            <v>2.1</v>
          </cell>
        </row>
        <row r="190">
          <cell r="B190" t="str">
            <v>H.1.EA-03</v>
          </cell>
          <cell r="C190">
            <v>1.55</v>
          </cell>
          <cell r="D190">
            <v>0.9</v>
          </cell>
          <cell r="E190">
            <v>2.1</v>
          </cell>
        </row>
        <row r="191">
          <cell r="B191" t="str">
            <v>H.1.EA-04</v>
          </cell>
          <cell r="C191">
            <v>1.85</v>
          </cell>
          <cell r="D191">
            <v>0.9</v>
          </cell>
          <cell r="E191">
            <v>2.1</v>
          </cell>
        </row>
        <row r="192">
          <cell r="B192" t="str">
            <v>H.1.EA-05</v>
          </cell>
          <cell r="C192">
            <v>1.8</v>
          </cell>
          <cell r="D192">
            <v>0.9</v>
          </cell>
          <cell r="E192">
            <v>2.1</v>
          </cell>
        </row>
        <row r="193">
          <cell r="B193" t="str">
            <v>H.1.EA-06</v>
          </cell>
          <cell r="C193">
            <v>2.2000000000000002</v>
          </cell>
          <cell r="D193">
            <v>0.9</v>
          </cell>
          <cell r="E193">
            <v>2.1</v>
          </cell>
        </row>
        <row r="194">
          <cell r="B194" t="str">
            <v>H.1.EA-07</v>
          </cell>
          <cell r="C194">
            <v>2.1</v>
          </cell>
          <cell r="D194">
            <v>0.9</v>
          </cell>
          <cell r="E194">
            <v>2.1</v>
          </cell>
        </row>
        <row r="195">
          <cell r="B195" t="str">
            <v>H.1.EA-08</v>
          </cell>
          <cell r="C195">
            <v>4.45</v>
          </cell>
          <cell r="D195">
            <v>0.9</v>
          </cell>
          <cell r="E195">
            <v>2.1</v>
          </cell>
        </row>
        <row r="196">
          <cell r="B196" t="str">
            <v>H.1.EA-09</v>
          </cell>
          <cell r="C196">
            <v>5.65</v>
          </cell>
          <cell r="D196">
            <v>0.9</v>
          </cell>
          <cell r="E196">
            <v>2.1</v>
          </cell>
        </row>
        <row r="197">
          <cell r="B197" t="str">
            <v>H.1.EA-10</v>
          </cell>
          <cell r="C197">
            <v>4</v>
          </cell>
          <cell r="D197">
            <v>0.9</v>
          </cell>
          <cell r="E197">
            <v>2.1</v>
          </cell>
        </row>
        <row r="198">
          <cell r="B198" t="str">
            <v>H.1.VT-01</v>
          </cell>
          <cell r="C198">
            <v>0.8</v>
          </cell>
          <cell r="D198">
            <v>0.8</v>
          </cell>
          <cell r="E198">
            <v>2.1</v>
          </cell>
        </row>
        <row r="199">
          <cell r="B199" t="str">
            <v>J.1.VT-02</v>
          </cell>
          <cell r="C199">
            <v>6.58</v>
          </cell>
          <cell r="D199">
            <v>1.1000000000000001</v>
          </cell>
        </row>
        <row r="200">
          <cell r="B200" t="str">
            <v>J.1.VT-03</v>
          </cell>
          <cell r="C200">
            <v>0.5</v>
          </cell>
          <cell r="D200">
            <v>0.5</v>
          </cell>
          <cell r="E200">
            <v>1.6</v>
          </cell>
        </row>
        <row r="201">
          <cell r="B201" t="str">
            <v>E.1.VT-02</v>
          </cell>
          <cell r="C201">
            <v>0.5</v>
          </cell>
          <cell r="D201">
            <v>0.5</v>
          </cell>
          <cell r="E201">
            <v>1.5</v>
          </cell>
        </row>
        <row r="202">
          <cell r="B202" t="str">
            <v>E.1.VT-01</v>
          </cell>
          <cell r="C202">
            <v>6.85</v>
          </cell>
          <cell r="D202">
            <v>1.25</v>
          </cell>
        </row>
        <row r="203">
          <cell r="B203" t="str">
            <v>I.1.EA-01</v>
          </cell>
          <cell r="C203">
            <v>4.3499999999999996</v>
          </cell>
          <cell r="D203">
            <v>0.8</v>
          </cell>
          <cell r="E203">
            <v>2.1</v>
          </cell>
        </row>
        <row r="204">
          <cell r="B204" t="str">
            <v>I.1.EA-02</v>
          </cell>
          <cell r="C204">
            <v>2.75</v>
          </cell>
          <cell r="D204">
            <v>0.8</v>
          </cell>
          <cell r="E204">
            <v>2.1</v>
          </cell>
        </row>
        <row r="205">
          <cell r="B205" t="str">
            <v>I.1.EF-01</v>
          </cell>
          <cell r="C205">
            <v>4.5</v>
          </cell>
          <cell r="D205">
            <v>1.8</v>
          </cell>
          <cell r="E205">
            <v>1.1000000000000001</v>
          </cell>
        </row>
        <row r="206">
          <cell r="B206" t="str">
            <v>C.1.EA-01</v>
          </cell>
          <cell r="C206">
            <v>3.24</v>
          </cell>
          <cell r="D206">
            <v>0.9</v>
          </cell>
          <cell r="E206">
            <v>2.1</v>
          </cell>
        </row>
        <row r="207">
          <cell r="B207" t="str">
            <v>C.1.EA-02</v>
          </cell>
          <cell r="C207">
            <v>5.64</v>
          </cell>
          <cell r="D207">
            <v>0.9</v>
          </cell>
          <cell r="E207">
            <v>2.1</v>
          </cell>
        </row>
        <row r="208">
          <cell r="B208" t="str">
            <v>C.1.EA-03</v>
          </cell>
          <cell r="C208">
            <v>5.7</v>
          </cell>
          <cell r="D208">
            <v>0.9</v>
          </cell>
          <cell r="E208">
            <v>2.1</v>
          </cell>
        </row>
        <row r="209">
          <cell r="B209" t="str">
            <v>C.1.EA-04</v>
          </cell>
          <cell r="C209">
            <v>5.8</v>
          </cell>
          <cell r="D209">
            <v>0.9</v>
          </cell>
          <cell r="E209">
            <v>2.1</v>
          </cell>
        </row>
        <row r="210">
          <cell r="B210" t="str">
            <v>C.1.EA-05</v>
          </cell>
          <cell r="C210">
            <v>7.3</v>
          </cell>
          <cell r="D210">
            <v>0.9</v>
          </cell>
          <cell r="E210">
            <v>2.1</v>
          </cell>
        </row>
        <row r="211">
          <cell r="B211" t="str">
            <v>C.1.EA-06</v>
          </cell>
          <cell r="C211">
            <v>1</v>
          </cell>
          <cell r="D211">
            <v>1.1000000000000001</v>
          </cell>
          <cell r="E211">
            <v>1</v>
          </cell>
        </row>
        <row r="212">
          <cell r="B212" t="str">
            <v>C.1.VT-01</v>
          </cell>
          <cell r="C212">
            <v>0.8</v>
          </cell>
          <cell r="D212">
            <v>0.8</v>
          </cell>
          <cell r="E212">
            <v>2.1</v>
          </cell>
        </row>
        <row r="213">
          <cell r="B213" t="str">
            <v>C.1.VT-02</v>
          </cell>
          <cell r="C213">
            <v>1.94</v>
          </cell>
          <cell r="D213">
            <v>3</v>
          </cell>
        </row>
        <row r="214">
          <cell r="B214" t="str">
            <v>C.1.VT-03</v>
          </cell>
          <cell r="C214">
            <v>2.16</v>
          </cell>
          <cell r="D214">
            <v>3</v>
          </cell>
        </row>
        <row r="215">
          <cell r="B215" t="str">
            <v>C.1.VT-04</v>
          </cell>
          <cell r="C215">
            <v>2.25</v>
          </cell>
          <cell r="D215">
            <v>3</v>
          </cell>
        </row>
        <row r="216">
          <cell r="B216" t="str">
            <v>C.1.VT-05</v>
          </cell>
          <cell r="C216">
            <v>0.5</v>
          </cell>
          <cell r="D216">
            <v>0.5</v>
          </cell>
          <cell r="E216">
            <v>2.1</v>
          </cell>
        </row>
        <row r="217">
          <cell r="B217" t="str">
            <v>C.1.VT-06</v>
          </cell>
          <cell r="C217">
            <v>12.79</v>
          </cell>
          <cell r="D217">
            <v>3</v>
          </cell>
        </row>
        <row r="218">
          <cell r="B218" t="str">
            <v>L.1.EA-01</v>
          </cell>
          <cell r="C218">
            <v>2.8</v>
          </cell>
          <cell r="D218">
            <v>0.8</v>
          </cell>
          <cell r="E218">
            <v>2</v>
          </cell>
        </row>
        <row r="219">
          <cell r="B219" t="str">
            <v>L.1.EA-02</v>
          </cell>
          <cell r="C219">
            <v>2.4</v>
          </cell>
          <cell r="D219">
            <v>0.8</v>
          </cell>
          <cell r="E219">
            <v>2</v>
          </cell>
        </row>
        <row r="220">
          <cell r="B220" t="str">
            <v>L.1.EA-03</v>
          </cell>
          <cell r="C220">
            <v>2.2999999999999998</v>
          </cell>
          <cell r="D220">
            <v>0.8</v>
          </cell>
          <cell r="E220">
            <v>2</v>
          </cell>
        </row>
        <row r="221">
          <cell r="B221" t="str">
            <v>L.1.EA-04</v>
          </cell>
          <cell r="C221">
            <v>0.75</v>
          </cell>
          <cell r="D221">
            <v>0.5</v>
          </cell>
          <cell r="E221">
            <v>2</v>
          </cell>
        </row>
        <row r="222">
          <cell r="B222" t="str">
            <v>F.1.EA-01</v>
          </cell>
          <cell r="C222">
            <v>1.3</v>
          </cell>
          <cell r="D222">
            <v>1</v>
          </cell>
          <cell r="E222">
            <v>2.5</v>
          </cell>
        </row>
        <row r="223">
          <cell r="B223" t="str">
            <v>F.1.EA-02</v>
          </cell>
          <cell r="C223">
            <v>1.35</v>
          </cell>
          <cell r="D223">
            <v>1</v>
          </cell>
          <cell r="E223">
            <v>2.5</v>
          </cell>
        </row>
        <row r="224">
          <cell r="B224" t="str">
            <v>F.1.EA-03</v>
          </cell>
          <cell r="C224">
            <v>2.8</v>
          </cell>
          <cell r="D224">
            <v>1</v>
          </cell>
          <cell r="E224">
            <v>2.5</v>
          </cell>
        </row>
        <row r="225">
          <cell r="B225" t="str">
            <v>F.1.EA-04</v>
          </cell>
          <cell r="C225">
            <v>2.8</v>
          </cell>
          <cell r="D225">
            <v>1</v>
          </cell>
          <cell r="E225">
            <v>1.1000000000000001</v>
          </cell>
        </row>
        <row r="226">
          <cell r="B226" t="str">
            <v>F.1.EA-05</v>
          </cell>
          <cell r="C226">
            <v>2.5499999999999998</v>
          </cell>
          <cell r="D226">
            <v>1</v>
          </cell>
          <cell r="E226">
            <v>2.5</v>
          </cell>
        </row>
        <row r="227">
          <cell r="B227" t="str">
            <v>M.1.EF-01</v>
          </cell>
          <cell r="C227">
            <v>5.15</v>
          </cell>
          <cell r="D227">
            <v>0.9</v>
          </cell>
          <cell r="E227">
            <v>2.1</v>
          </cell>
        </row>
        <row r="228">
          <cell r="B228" t="str">
            <v>M.1.EF-02</v>
          </cell>
          <cell r="C228">
            <v>3.95</v>
          </cell>
          <cell r="D228">
            <v>0.9</v>
          </cell>
          <cell r="E228">
            <v>2.1</v>
          </cell>
        </row>
        <row r="229">
          <cell r="B229" t="str">
            <v>M.1.EF-03</v>
          </cell>
          <cell r="C229">
            <v>2.75</v>
          </cell>
          <cell r="D229">
            <v>0.9</v>
          </cell>
          <cell r="E229">
            <v>2.1</v>
          </cell>
        </row>
        <row r="230">
          <cell r="B230" t="str">
            <v>N.1.EF-01</v>
          </cell>
          <cell r="C230">
            <v>5.15</v>
          </cell>
          <cell r="D230">
            <v>0.9</v>
          </cell>
          <cell r="E230">
            <v>2.1</v>
          </cell>
        </row>
        <row r="231">
          <cell r="B231" t="str">
            <v>N.1.EF-02</v>
          </cell>
          <cell r="C231">
            <v>3.95</v>
          </cell>
          <cell r="D231">
            <v>0.9</v>
          </cell>
          <cell r="E231">
            <v>2.1</v>
          </cell>
        </row>
        <row r="232">
          <cell r="B232" t="str">
            <v>O.1.EA-01</v>
          </cell>
          <cell r="C232">
            <v>3</v>
          </cell>
          <cell r="D232">
            <v>0.7</v>
          </cell>
          <cell r="E232">
            <v>2.1</v>
          </cell>
        </row>
        <row r="233">
          <cell r="B233" t="str">
            <v>GRADE</v>
          </cell>
          <cell r="C233">
            <v>1.9</v>
          </cell>
          <cell r="D233">
            <v>1.5</v>
          </cell>
          <cell r="E233">
            <v>1.65</v>
          </cell>
        </row>
        <row r="234">
          <cell r="B234" t="str">
            <v>GRADIL</v>
          </cell>
          <cell r="C234">
            <v>23.25</v>
          </cell>
          <cell r="D234">
            <v>2.15</v>
          </cell>
        </row>
        <row r="237">
          <cell r="C237" t="str">
            <v>PORTA</v>
          </cell>
        </row>
        <row r="238">
          <cell r="B238" t="str">
            <v>TIPO</v>
          </cell>
          <cell r="C238" t="str">
            <v>LARGURA</v>
          </cell>
          <cell r="D238" t="str">
            <v xml:space="preserve">ALTURA </v>
          </cell>
        </row>
        <row r="239">
          <cell r="B239" t="str">
            <v>PM01</v>
          </cell>
          <cell r="C239">
            <v>0.8</v>
          </cell>
          <cell r="D239">
            <v>2.1</v>
          </cell>
        </row>
        <row r="240">
          <cell r="B240" t="str">
            <v>PM02</v>
          </cell>
          <cell r="C240">
            <v>1</v>
          </cell>
          <cell r="D240">
            <v>2.1</v>
          </cell>
        </row>
        <row r="241">
          <cell r="B241" t="str">
            <v>PM03</v>
          </cell>
          <cell r="C241">
            <v>0.7</v>
          </cell>
          <cell r="D241">
            <v>2.1</v>
          </cell>
        </row>
        <row r="242">
          <cell r="B242" t="str">
            <v>PF01</v>
          </cell>
          <cell r="C242">
            <v>4.8</v>
          </cell>
          <cell r="D242">
            <v>2.1</v>
          </cell>
        </row>
        <row r="243">
          <cell r="B243" t="str">
            <v>PV01</v>
          </cell>
          <cell r="C243">
            <v>0.8</v>
          </cell>
          <cell r="D243">
            <v>2.1</v>
          </cell>
        </row>
        <row r="244">
          <cell r="B244" t="str">
            <v>PV02</v>
          </cell>
          <cell r="C244">
            <v>1.8</v>
          </cell>
          <cell r="D244">
            <v>2.1</v>
          </cell>
        </row>
        <row r="245">
          <cell r="B245" t="str">
            <v>PA01</v>
          </cell>
          <cell r="C245">
            <v>1.2</v>
          </cell>
          <cell r="D245">
            <v>1.5</v>
          </cell>
        </row>
        <row r="246">
          <cell r="B246" t="str">
            <v>PD01</v>
          </cell>
          <cell r="C246">
            <v>0.6</v>
          </cell>
          <cell r="D246">
            <v>1.8</v>
          </cell>
        </row>
        <row r="247">
          <cell r="B247" t="str">
            <v>PD02</v>
          </cell>
          <cell r="C247">
            <v>0.9</v>
          </cell>
          <cell r="D247">
            <v>1.8</v>
          </cell>
        </row>
        <row r="250">
          <cell r="B250" t="str">
            <v>J.1.PM-01</v>
          </cell>
          <cell r="C250">
            <v>0.6</v>
          </cell>
          <cell r="D250">
            <v>2.1</v>
          </cell>
        </row>
        <row r="251">
          <cell r="B251" t="str">
            <v>E.1.VT-03</v>
          </cell>
          <cell r="C251">
            <v>0.8</v>
          </cell>
          <cell r="D251">
            <v>2.25</v>
          </cell>
        </row>
        <row r="252">
          <cell r="B252" t="str">
            <v>E.1.PM-01</v>
          </cell>
          <cell r="C252">
            <v>0.6</v>
          </cell>
          <cell r="D252">
            <v>2.1</v>
          </cell>
        </row>
        <row r="253">
          <cell r="B253" t="str">
            <v>I.1.EA-03</v>
          </cell>
          <cell r="C253">
            <v>0.9</v>
          </cell>
          <cell r="D253">
            <v>2.1</v>
          </cell>
        </row>
        <row r="254">
          <cell r="B254" t="str">
            <v>I.1.PM-01</v>
          </cell>
          <cell r="C254">
            <v>0.8</v>
          </cell>
          <cell r="D254">
            <v>2.1</v>
          </cell>
        </row>
        <row r="255">
          <cell r="B255" t="str">
            <v>C.1.PM-01</v>
          </cell>
          <cell r="C255">
            <v>0.8</v>
          </cell>
          <cell r="D255">
            <v>2.1</v>
          </cell>
        </row>
        <row r="256">
          <cell r="B256" t="str">
            <v>C.1.PM-02</v>
          </cell>
          <cell r="C256">
            <v>0.9</v>
          </cell>
          <cell r="D256">
            <v>2.1</v>
          </cell>
        </row>
        <row r="257">
          <cell r="B257" t="str">
            <v>C.1.PM-02V</v>
          </cell>
          <cell r="C257">
            <v>0.9</v>
          </cell>
          <cell r="D257">
            <v>2.1</v>
          </cell>
        </row>
        <row r="258">
          <cell r="B258" t="str">
            <v>C.1.PM-03G</v>
          </cell>
          <cell r="C258">
            <v>0.8</v>
          </cell>
          <cell r="D258">
            <v>2.1</v>
          </cell>
        </row>
        <row r="259">
          <cell r="B259" t="str">
            <v>C.1.PM-03.1G</v>
          </cell>
          <cell r="C259">
            <v>1.6</v>
          </cell>
          <cell r="D259">
            <v>2.1</v>
          </cell>
        </row>
        <row r="260">
          <cell r="B260" t="str">
            <v>C.1.PM-04G</v>
          </cell>
          <cell r="C260">
            <v>0.9</v>
          </cell>
          <cell r="D260">
            <v>2.1</v>
          </cell>
        </row>
        <row r="261">
          <cell r="B261" t="str">
            <v>C.1.PM-05</v>
          </cell>
          <cell r="C261">
            <v>0.9</v>
          </cell>
          <cell r="D261">
            <v>1.8</v>
          </cell>
        </row>
        <row r="262">
          <cell r="B262" t="str">
            <v>C.1.PM-06</v>
          </cell>
          <cell r="C262">
            <v>0.9</v>
          </cell>
          <cell r="D262">
            <v>2.1</v>
          </cell>
        </row>
        <row r="263">
          <cell r="B263" t="str">
            <v>C.1.PM-07</v>
          </cell>
          <cell r="C263">
            <v>0.9</v>
          </cell>
          <cell r="D263">
            <v>2.1</v>
          </cell>
        </row>
        <row r="264">
          <cell r="B264" t="str">
            <v>C.1.PVT-02</v>
          </cell>
          <cell r="C264">
            <v>0.8</v>
          </cell>
          <cell r="D264">
            <v>2.1</v>
          </cell>
        </row>
        <row r="265">
          <cell r="B265" t="str">
            <v>C.1.PVT-03</v>
          </cell>
          <cell r="C265">
            <v>1.2</v>
          </cell>
          <cell r="D265">
            <v>2.1</v>
          </cell>
        </row>
        <row r="266">
          <cell r="B266" t="str">
            <v>C.1.PVT-04</v>
          </cell>
          <cell r="C266">
            <v>1.65</v>
          </cell>
          <cell r="D266">
            <v>2.1</v>
          </cell>
        </row>
        <row r="267">
          <cell r="B267" t="str">
            <v>C.1.PVT-06</v>
          </cell>
          <cell r="C267">
            <v>1.2</v>
          </cell>
          <cell r="D267">
            <v>2.1</v>
          </cell>
        </row>
        <row r="268">
          <cell r="B268" t="str">
            <v>PORTA NAVAL</v>
          </cell>
          <cell r="C268">
            <v>0.8</v>
          </cell>
          <cell r="D268">
            <v>2.1</v>
          </cell>
        </row>
        <row r="269">
          <cell r="B269" t="str">
            <v>B.1.PM-01</v>
          </cell>
          <cell r="C269">
            <v>0.8</v>
          </cell>
          <cell r="D269">
            <v>2.1</v>
          </cell>
        </row>
        <row r="270">
          <cell r="B270" t="str">
            <v>B.1.PM-01V</v>
          </cell>
          <cell r="C270">
            <v>0.8</v>
          </cell>
          <cell r="D270">
            <v>2.1</v>
          </cell>
        </row>
        <row r="271">
          <cell r="B271" t="str">
            <v>B.1.PM-02V</v>
          </cell>
          <cell r="C271">
            <v>1.6</v>
          </cell>
          <cell r="D271">
            <v>2.1</v>
          </cell>
        </row>
        <row r="272">
          <cell r="B272" t="str">
            <v>B.1.PM-03</v>
          </cell>
          <cell r="C272">
            <v>0.6</v>
          </cell>
          <cell r="D272">
            <v>1.8</v>
          </cell>
        </row>
        <row r="273">
          <cell r="B273" t="str">
            <v>B.1.PM-04</v>
          </cell>
          <cell r="C273">
            <v>0.9</v>
          </cell>
          <cell r="D273">
            <v>1.8</v>
          </cell>
        </row>
        <row r="274">
          <cell r="B274" t="str">
            <v>B.2.PM-01V</v>
          </cell>
          <cell r="C274">
            <v>0.8</v>
          </cell>
          <cell r="D274">
            <v>2.1</v>
          </cell>
        </row>
        <row r="275">
          <cell r="B275" t="str">
            <v>B.2.PM-01VG</v>
          </cell>
          <cell r="C275">
            <v>0.8</v>
          </cell>
          <cell r="D275">
            <v>2.1</v>
          </cell>
        </row>
        <row r="276">
          <cell r="B276" t="str">
            <v>B.2.PM-02V</v>
          </cell>
          <cell r="C276">
            <v>0.9</v>
          </cell>
          <cell r="D276">
            <v>2.1</v>
          </cell>
        </row>
        <row r="277">
          <cell r="B277" t="str">
            <v>B.2.PM-02VG</v>
          </cell>
          <cell r="C277">
            <v>0.9</v>
          </cell>
          <cell r="D277">
            <v>2.1</v>
          </cell>
        </row>
        <row r="278">
          <cell r="B278" t="str">
            <v>B.2.PM-03V</v>
          </cell>
          <cell r="C278">
            <v>1.4</v>
          </cell>
          <cell r="D278">
            <v>2.1</v>
          </cell>
        </row>
        <row r="279">
          <cell r="B279" t="str">
            <v>B.2.PM-04G</v>
          </cell>
          <cell r="C279">
            <v>0.8</v>
          </cell>
          <cell r="D279">
            <v>2.1</v>
          </cell>
        </row>
        <row r="280">
          <cell r="B280" t="str">
            <v>B.2.PM-05VG</v>
          </cell>
          <cell r="C280">
            <v>1.2</v>
          </cell>
          <cell r="D280">
            <v>2.1</v>
          </cell>
        </row>
        <row r="281">
          <cell r="B281" t="str">
            <v>B.2.PM-06</v>
          </cell>
          <cell r="C281">
            <v>0.7</v>
          </cell>
          <cell r="D281">
            <v>2.1</v>
          </cell>
        </row>
        <row r="282">
          <cell r="B282" t="str">
            <v>L.1.EF-01</v>
          </cell>
          <cell r="C282">
            <v>2.15</v>
          </cell>
          <cell r="D282">
            <v>2.9</v>
          </cell>
        </row>
        <row r="283">
          <cell r="B283" t="str">
            <v>L.1.EF-02</v>
          </cell>
          <cell r="C283">
            <v>2.0499999999999998</v>
          </cell>
          <cell r="D283">
            <v>2.9</v>
          </cell>
          <cell r="E283">
            <v>0.9</v>
          </cell>
        </row>
        <row r="284">
          <cell r="B284" t="str">
            <v>L.1.EF-03</v>
          </cell>
          <cell r="C284">
            <v>1.6</v>
          </cell>
          <cell r="D284">
            <v>2.9</v>
          </cell>
          <cell r="E284">
            <v>1.1000000000000001</v>
          </cell>
        </row>
        <row r="285">
          <cell r="B285" t="str">
            <v>L.1.EA-06</v>
          </cell>
          <cell r="C285">
            <v>0.8</v>
          </cell>
          <cell r="D285">
            <v>2.1</v>
          </cell>
        </row>
        <row r="286">
          <cell r="B286" t="str">
            <v>L.1.EA-05</v>
          </cell>
          <cell r="C286">
            <v>0.8</v>
          </cell>
          <cell r="D286">
            <v>2.1</v>
          </cell>
        </row>
        <row r="287">
          <cell r="B287" t="str">
            <v>F.1.PM-01</v>
          </cell>
          <cell r="C287">
            <v>0.7</v>
          </cell>
          <cell r="D287">
            <v>2.1</v>
          </cell>
          <cell r="E287">
            <v>0.9</v>
          </cell>
        </row>
        <row r="288">
          <cell r="B288" t="str">
            <v>F.1.PM-02</v>
          </cell>
          <cell r="C288">
            <v>0.8</v>
          </cell>
          <cell r="D288">
            <v>2.1</v>
          </cell>
          <cell r="E288">
            <v>0.9</v>
          </cell>
        </row>
        <row r="289">
          <cell r="B289" t="str">
            <v>M.1.EF-04</v>
          </cell>
          <cell r="C289">
            <v>1.6</v>
          </cell>
          <cell r="D289">
            <v>2.1</v>
          </cell>
        </row>
        <row r="290">
          <cell r="B290" t="str">
            <v>M.1.EF-05</v>
          </cell>
          <cell r="C290">
            <v>0.9</v>
          </cell>
          <cell r="D290">
            <v>2.1</v>
          </cell>
        </row>
        <row r="291">
          <cell r="B291" t="str">
            <v>N.1.EF-03</v>
          </cell>
          <cell r="C291">
            <v>1.6</v>
          </cell>
          <cell r="D291">
            <v>2.1</v>
          </cell>
        </row>
        <row r="292">
          <cell r="B292" t="str">
            <v>O.2.EA-01</v>
          </cell>
          <cell r="C292">
            <v>1.7</v>
          </cell>
          <cell r="D292">
            <v>2.1</v>
          </cell>
        </row>
        <row r="293">
          <cell r="B293" t="str">
            <v>TIPO 1</v>
          </cell>
          <cell r="C293">
            <v>2</v>
          </cell>
          <cell r="D293">
            <v>2.5</v>
          </cell>
        </row>
        <row r="294">
          <cell r="B294" t="str">
            <v>TIPO 2</v>
          </cell>
          <cell r="C294">
            <v>1.6</v>
          </cell>
          <cell r="D294">
            <v>2.5</v>
          </cell>
        </row>
        <row r="295">
          <cell r="B295" t="str">
            <v>TIPO 3</v>
          </cell>
          <cell r="C295">
            <v>2</v>
          </cell>
          <cell r="D295">
            <v>2.5</v>
          </cell>
        </row>
        <row r="296">
          <cell r="B296" t="str">
            <v>TIPO 5</v>
          </cell>
          <cell r="C296">
            <v>0.9</v>
          </cell>
          <cell r="D296">
            <v>2.1</v>
          </cell>
        </row>
        <row r="297">
          <cell r="B297" t="str">
            <v>TIPO 4</v>
          </cell>
          <cell r="C297">
            <v>0.9</v>
          </cell>
          <cell r="D297">
            <v>2.1</v>
          </cell>
        </row>
        <row r="298">
          <cell r="B298" t="str">
            <v>O.1.EA-03</v>
          </cell>
          <cell r="C298">
            <v>0.6</v>
          </cell>
          <cell r="D298">
            <v>1.2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 FIN  - 3 MESES "/>
      <sheetName val="ORÇAMENTO"/>
      <sheetName val="MEMORIA DE CALCULO "/>
      <sheetName val="RESUMO"/>
      <sheetName val="COMPOSIÇÕES"/>
      <sheetName val="ADM"/>
      <sheetName val="auxiliar memoria"/>
      <sheetName val="INCC"/>
      <sheetName val="CURVA ABC"/>
      <sheetName val="ITEN DE MAIOR"/>
      <sheetName val="CRON FIN - 5 MESES"/>
      <sheetName val="Gráf1"/>
      <sheetName val="Plan2"/>
      <sheetName val="Plan1"/>
    </sheetNames>
    <sheetDataSet>
      <sheetData sheetId="0" refreshError="1"/>
      <sheetData sheetId="1" refreshError="1">
        <row r="6">
          <cell r="E6" t="str">
            <v>SERVIÇOS PRELIMINARES</v>
          </cell>
        </row>
        <row r="7">
          <cell r="E7" t="str">
            <v>CANTEIRO DE OBRAS</v>
          </cell>
        </row>
        <row r="15">
          <cell r="A15" t="str">
            <v>1.3</v>
          </cell>
          <cell r="E15" t="str">
            <v>ACESSO DA OBRA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5" tint="0.39997558519241921"/>
    <pageSetUpPr fitToPage="1"/>
  </sheetPr>
  <dimension ref="A1:AB937"/>
  <sheetViews>
    <sheetView showGridLines="0" tabSelected="1" view="pageBreakPreview" zoomScale="60" zoomScaleNormal="60" workbookViewId="0">
      <pane ySplit="3" topLeftCell="A76" activePane="bottomLeft" state="frozen"/>
      <selection activeCell="C99" sqref="C99"/>
      <selection pane="bottomLeft" activeCell="O116" sqref="O116"/>
    </sheetView>
  </sheetViews>
  <sheetFormatPr defaultRowHeight="23.25"/>
  <cols>
    <col min="1" max="1" width="29.5703125" style="241" customWidth="1"/>
    <col min="2" max="2" width="130" style="242" customWidth="1"/>
    <col min="3" max="3" width="20.42578125" style="239" customWidth="1"/>
    <col min="4" max="4" width="23" style="536" customWidth="1"/>
    <col min="5" max="5" width="20.85546875" style="243" customWidth="1"/>
    <col min="6" max="6" width="20" style="243" customWidth="1"/>
    <col min="7" max="7" width="20.140625" style="243" customWidth="1"/>
    <col min="8" max="8" width="26.28515625" style="536" customWidth="1"/>
    <col min="9" max="9" width="35.140625" style="243" bestFit="1" customWidth="1"/>
    <col min="10" max="10" width="26.28515625" style="243" customWidth="1"/>
    <col min="11" max="11" width="33.42578125" style="244" bestFit="1" customWidth="1"/>
    <col min="12" max="12" width="18.85546875" style="244" customWidth="1"/>
    <col min="13" max="13" width="11.85546875" style="187" customWidth="1"/>
    <col min="14" max="14" width="12.7109375" style="246" customWidth="1"/>
    <col min="15" max="15" width="21" style="245" customWidth="1"/>
    <col min="16" max="16" width="20.5703125" style="241" customWidth="1"/>
    <col min="17" max="17" width="17.140625" style="241" customWidth="1"/>
    <col min="18" max="18" width="21" style="239" customWidth="1"/>
    <col min="19" max="19" width="20.85546875" style="239" customWidth="1"/>
    <col min="20" max="20" width="18.85546875" style="239" customWidth="1"/>
    <col min="21" max="21" width="19.5703125" style="239" customWidth="1"/>
    <col min="22" max="22" width="30.5703125" style="239" customWidth="1"/>
    <col min="23" max="23" width="18.28515625" style="241" customWidth="1"/>
    <col min="24" max="24" width="20.85546875" style="239" bestFit="1" customWidth="1"/>
    <col min="25" max="25" width="11" style="239" bestFit="1" customWidth="1"/>
    <col min="26" max="222" width="9.140625" style="239"/>
    <col min="223" max="223" width="11.5703125" style="239" customWidth="1"/>
    <col min="224" max="224" width="27.42578125" style="239" customWidth="1"/>
    <col min="225" max="225" width="134.28515625" style="239" customWidth="1"/>
    <col min="226" max="226" width="11.140625" style="239" customWidth="1"/>
    <col min="227" max="227" width="21.42578125" style="239" customWidth="1"/>
    <col min="228" max="228" width="19.42578125" style="239" customWidth="1"/>
    <col min="229" max="229" width="14.140625" style="239" customWidth="1"/>
    <col min="230" max="230" width="12.7109375" style="239" customWidth="1"/>
    <col min="231" max="231" width="23.42578125" style="239" customWidth="1"/>
    <col min="232" max="232" width="25.85546875" style="239" customWidth="1"/>
    <col min="233" max="233" width="23.7109375" style="239" customWidth="1"/>
    <col min="234" max="234" width="20.28515625" style="239" customWidth="1"/>
    <col min="235" max="235" width="24.140625" style="239" customWidth="1"/>
    <col min="236" max="236" width="18.7109375" style="239" bestFit="1" customWidth="1"/>
    <col min="237" max="237" width="12.140625" style="239" bestFit="1" customWidth="1"/>
    <col min="238" max="238" width="19.85546875" style="239" bestFit="1" customWidth="1"/>
    <col min="239" max="239" width="3.7109375" style="239" customWidth="1"/>
    <col min="240" max="240" width="20.140625" style="239" bestFit="1" customWidth="1"/>
    <col min="241" max="241" width="15.7109375" style="239" customWidth="1"/>
    <col min="242" max="242" width="3.7109375" style="239" customWidth="1"/>
    <col min="243" max="243" width="10.42578125" style="239" customWidth="1"/>
    <col min="244" max="244" width="22.7109375" style="239" customWidth="1"/>
    <col min="245" max="245" width="17.28515625" style="239" bestFit="1" customWidth="1"/>
    <col min="246" max="246" width="11" style="239" bestFit="1" customWidth="1"/>
    <col min="247" max="247" width="19.85546875" style="239" bestFit="1" customWidth="1"/>
    <col min="248" max="250" width="9.140625" style="239" customWidth="1"/>
    <col min="251" max="251" width="16.7109375" style="239" customWidth="1"/>
    <col min="252" max="478" width="9.140625" style="239"/>
    <col min="479" max="479" width="11.5703125" style="239" customWidth="1"/>
    <col min="480" max="480" width="27.42578125" style="239" customWidth="1"/>
    <col min="481" max="481" width="134.28515625" style="239" customWidth="1"/>
    <col min="482" max="482" width="11.140625" style="239" customWidth="1"/>
    <col min="483" max="483" width="21.42578125" style="239" customWidth="1"/>
    <col min="484" max="484" width="19.42578125" style="239" customWidth="1"/>
    <col min="485" max="485" width="14.140625" style="239" customWidth="1"/>
    <col min="486" max="486" width="12.7109375" style="239" customWidth="1"/>
    <col min="487" max="487" width="23.42578125" style="239" customWidth="1"/>
    <col min="488" max="488" width="25.85546875" style="239" customWidth="1"/>
    <col min="489" max="489" width="23.7109375" style="239" customWidth="1"/>
    <col min="490" max="490" width="20.28515625" style="239" customWidth="1"/>
    <col min="491" max="491" width="24.140625" style="239" customWidth="1"/>
    <col min="492" max="492" width="18.7109375" style="239" bestFit="1" customWidth="1"/>
    <col min="493" max="493" width="12.140625" style="239" bestFit="1" customWidth="1"/>
    <col min="494" max="494" width="19.85546875" style="239" bestFit="1" customWidth="1"/>
    <col min="495" max="495" width="3.7109375" style="239" customWidth="1"/>
    <col min="496" max="496" width="20.140625" style="239" bestFit="1" customWidth="1"/>
    <col min="497" max="497" width="15.7109375" style="239" customWidth="1"/>
    <col min="498" max="498" width="3.7109375" style="239" customWidth="1"/>
    <col min="499" max="499" width="10.42578125" style="239" customWidth="1"/>
    <col min="500" max="500" width="22.7109375" style="239" customWidth="1"/>
    <col min="501" max="501" width="17.28515625" style="239" bestFit="1" customWidth="1"/>
    <col min="502" max="502" width="11" style="239" bestFit="1" customWidth="1"/>
    <col min="503" max="503" width="19.85546875" style="239" bestFit="1" customWidth="1"/>
    <col min="504" max="506" width="9.140625" style="239" customWidth="1"/>
    <col min="507" max="507" width="16.7109375" style="239" customWidth="1"/>
    <col min="508" max="734" width="9.140625" style="239"/>
    <col min="735" max="735" width="11.5703125" style="239" customWidth="1"/>
    <col min="736" max="736" width="27.42578125" style="239" customWidth="1"/>
    <col min="737" max="737" width="134.28515625" style="239" customWidth="1"/>
    <col min="738" max="738" width="11.140625" style="239" customWidth="1"/>
    <col min="739" max="739" width="21.42578125" style="239" customWidth="1"/>
    <col min="740" max="740" width="19.42578125" style="239" customWidth="1"/>
    <col min="741" max="741" width="14.140625" style="239" customWidth="1"/>
    <col min="742" max="742" width="12.7109375" style="239" customWidth="1"/>
    <col min="743" max="743" width="23.42578125" style="239" customWidth="1"/>
    <col min="744" max="744" width="25.85546875" style="239" customWidth="1"/>
    <col min="745" max="745" width="23.7109375" style="239" customWidth="1"/>
    <col min="746" max="746" width="20.28515625" style="239" customWidth="1"/>
    <col min="747" max="747" width="24.140625" style="239" customWidth="1"/>
    <col min="748" max="748" width="18.7109375" style="239" bestFit="1" customWidth="1"/>
    <col min="749" max="749" width="12.140625" style="239" bestFit="1" customWidth="1"/>
    <col min="750" max="750" width="19.85546875" style="239" bestFit="1" customWidth="1"/>
    <col min="751" max="751" width="3.7109375" style="239" customWidth="1"/>
    <col min="752" max="752" width="20.140625" style="239" bestFit="1" customWidth="1"/>
    <col min="753" max="753" width="15.7109375" style="239" customWidth="1"/>
    <col min="754" max="754" width="3.7109375" style="239" customWidth="1"/>
    <col min="755" max="755" width="10.42578125" style="239" customWidth="1"/>
    <col min="756" max="756" width="22.7109375" style="239" customWidth="1"/>
    <col min="757" max="757" width="17.28515625" style="239" bestFit="1" customWidth="1"/>
    <col min="758" max="758" width="11" style="239" bestFit="1" customWidth="1"/>
    <col min="759" max="759" width="19.85546875" style="239" bestFit="1" customWidth="1"/>
    <col min="760" max="762" width="9.140625" style="239" customWidth="1"/>
    <col min="763" max="763" width="16.7109375" style="239" customWidth="1"/>
    <col min="764" max="990" width="9.140625" style="239"/>
    <col min="991" max="991" width="11.5703125" style="239" customWidth="1"/>
    <col min="992" max="992" width="27.42578125" style="239" customWidth="1"/>
    <col min="993" max="993" width="134.28515625" style="239" customWidth="1"/>
    <col min="994" max="994" width="11.140625" style="239" customWidth="1"/>
    <col min="995" max="995" width="21.42578125" style="239" customWidth="1"/>
    <col min="996" max="996" width="19.42578125" style="239" customWidth="1"/>
    <col min="997" max="997" width="14.140625" style="239" customWidth="1"/>
    <col min="998" max="998" width="12.7109375" style="239" customWidth="1"/>
    <col min="999" max="999" width="23.42578125" style="239" customWidth="1"/>
    <col min="1000" max="1000" width="25.85546875" style="239" customWidth="1"/>
    <col min="1001" max="1001" width="23.7109375" style="239" customWidth="1"/>
    <col min="1002" max="1002" width="20.28515625" style="239" customWidth="1"/>
    <col min="1003" max="1003" width="24.140625" style="239" customWidth="1"/>
    <col min="1004" max="1004" width="18.7109375" style="239" bestFit="1" customWidth="1"/>
    <col min="1005" max="1005" width="12.140625" style="239" bestFit="1" customWidth="1"/>
    <col min="1006" max="1006" width="19.85546875" style="239" bestFit="1" customWidth="1"/>
    <col min="1007" max="1007" width="3.7109375" style="239" customWidth="1"/>
    <col min="1008" max="1008" width="20.140625" style="239" bestFit="1" customWidth="1"/>
    <col min="1009" max="1009" width="15.7109375" style="239" customWidth="1"/>
    <col min="1010" max="1010" width="3.7109375" style="239" customWidth="1"/>
    <col min="1011" max="1011" width="10.42578125" style="239" customWidth="1"/>
    <col min="1012" max="1012" width="22.7109375" style="239" customWidth="1"/>
    <col min="1013" max="1013" width="17.28515625" style="239" bestFit="1" customWidth="1"/>
    <col min="1014" max="1014" width="11" style="239" bestFit="1" customWidth="1"/>
    <col min="1015" max="1015" width="19.85546875" style="239" bestFit="1" customWidth="1"/>
    <col min="1016" max="1018" width="9.140625" style="239" customWidth="1"/>
    <col min="1019" max="1019" width="16.7109375" style="239" customWidth="1"/>
    <col min="1020" max="1246" width="9.140625" style="239"/>
    <col min="1247" max="1247" width="11.5703125" style="239" customWidth="1"/>
    <col min="1248" max="1248" width="27.42578125" style="239" customWidth="1"/>
    <col min="1249" max="1249" width="134.28515625" style="239" customWidth="1"/>
    <col min="1250" max="1250" width="11.140625" style="239" customWidth="1"/>
    <col min="1251" max="1251" width="21.42578125" style="239" customWidth="1"/>
    <col min="1252" max="1252" width="19.42578125" style="239" customWidth="1"/>
    <col min="1253" max="1253" width="14.140625" style="239" customWidth="1"/>
    <col min="1254" max="1254" width="12.7109375" style="239" customWidth="1"/>
    <col min="1255" max="1255" width="23.42578125" style="239" customWidth="1"/>
    <col min="1256" max="1256" width="25.85546875" style="239" customWidth="1"/>
    <col min="1257" max="1257" width="23.7109375" style="239" customWidth="1"/>
    <col min="1258" max="1258" width="20.28515625" style="239" customWidth="1"/>
    <col min="1259" max="1259" width="24.140625" style="239" customWidth="1"/>
    <col min="1260" max="1260" width="18.7109375" style="239" bestFit="1" customWidth="1"/>
    <col min="1261" max="1261" width="12.140625" style="239" bestFit="1" customWidth="1"/>
    <col min="1262" max="1262" width="19.85546875" style="239" bestFit="1" customWidth="1"/>
    <col min="1263" max="1263" width="3.7109375" style="239" customWidth="1"/>
    <col min="1264" max="1264" width="20.140625" style="239" bestFit="1" customWidth="1"/>
    <col min="1265" max="1265" width="15.7109375" style="239" customWidth="1"/>
    <col min="1266" max="1266" width="3.7109375" style="239" customWidth="1"/>
    <col min="1267" max="1267" width="10.42578125" style="239" customWidth="1"/>
    <col min="1268" max="1268" width="22.7109375" style="239" customWidth="1"/>
    <col min="1269" max="1269" width="17.28515625" style="239" bestFit="1" customWidth="1"/>
    <col min="1270" max="1270" width="11" style="239" bestFit="1" customWidth="1"/>
    <col min="1271" max="1271" width="19.85546875" style="239" bestFit="1" customWidth="1"/>
    <col min="1272" max="1274" width="9.140625" style="239" customWidth="1"/>
    <col min="1275" max="1275" width="16.7109375" style="239" customWidth="1"/>
    <col min="1276" max="1502" width="9.140625" style="239"/>
    <col min="1503" max="1503" width="11.5703125" style="239" customWidth="1"/>
    <col min="1504" max="1504" width="27.42578125" style="239" customWidth="1"/>
    <col min="1505" max="1505" width="134.28515625" style="239" customWidth="1"/>
    <col min="1506" max="1506" width="11.140625" style="239" customWidth="1"/>
    <col min="1507" max="1507" width="21.42578125" style="239" customWidth="1"/>
    <col min="1508" max="1508" width="19.42578125" style="239" customWidth="1"/>
    <col min="1509" max="1509" width="14.140625" style="239" customWidth="1"/>
    <col min="1510" max="1510" width="12.7109375" style="239" customWidth="1"/>
    <col min="1511" max="1511" width="23.42578125" style="239" customWidth="1"/>
    <col min="1512" max="1512" width="25.85546875" style="239" customWidth="1"/>
    <col min="1513" max="1513" width="23.7109375" style="239" customWidth="1"/>
    <col min="1514" max="1514" width="20.28515625" style="239" customWidth="1"/>
    <col min="1515" max="1515" width="24.140625" style="239" customWidth="1"/>
    <col min="1516" max="1516" width="18.7109375" style="239" bestFit="1" customWidth="1"/>
    <col min="1517" max="1517" width="12.140625" style="239" bestFit="1" customWidth="1"/>
    <col min="1518" max="1518" width="19.85546875" style="239" bestFit="1" customWidth="1"/>
    <col min="1519" max="1519" width="3.7109375" style="239" customWidth="1"/>
    <col min="1520" max="1520" width="20.140625" style="239" bestFit="1" customWidth="1"/>
    <col min="1521" max="1521" width="15.7109375" style="239" customWidth="1"/>
    <col min="1522" max="1522" width="3.7109375" style="239" customWidth="1"/>
    <col min="1523" max="1523" width="10.42578125" style="239" customWidth="1"/>
    <col min="1524" max="1524" width="22.7109375" style="239" customWidth="1"/>
    <col min="1525" max="1525" width="17.28515625" style="239" bestFit="1" customWidth="1"/>
    <col min="1526" max="1526" width="11" style="239" bestFit="1" customWidth="1"/>
    <col min="1527" max="1527" width="19.85546875" style="239" bestFit="1" customWidth="1"/>
    <col min="1528" max="1530" width="9.140625" style="239" customWidth="1"/>
    <col min="1531" max="1531" width="16.7109375" style="239" customWidth="1"/>
    <col min="1532" max="1758" width="9.140625" style="239"/>
    <col min="1759" max="1759" width="11.5703125" style="239" customWidth="1"/>
    <col min="1760" max="1760" width="27.42578125" style="239" customWidth="1"/>
    <col min="1761" max="1761" width="134.28515625" style="239" customWidth="1"/>
    <col min="1762" max="1762" width="11.140625" style="239" customWidth="1"/>
    <col min="1763" max="1763" width="21.42578125" style="239" customWidth="1"/>
    <col min="1764" max="1764" width="19.42578125" style="239" customWidth="1"/>
    <col min="1765" max="1765" width="14.140625" style="239" customWidth="1"/>
    <col min="1766" max="1766" width="12.7109375" style="239" customWidth="1"/>
    <col min="1767" max="1767" width="23.42578125" style="239" customWidth="1"/>
    <col min="1768" max="1768" width="25.85546875" style="239" customWidth="1"/>
    <col min="1769" max="1769" width="23.7109375" style="239" customWidth="1"/>
    <col min="1770" max="1770" width="20.28515625" style="239" customWidth="1"/>
    <col min="1771" max="1771" width="24.140625" style="239" customWidth="1"/>
    <col min="1772" max="1772" width="18.7109375" style="239" bestFit="1" customWidth="1"/>
    <col min="1773" max="1773" width="12.140625" style="239" bestFit="1" customWidth="1"/>
    <col min="1774" max="1774" width="19.85546875" style="239" bestFit="1" customWidth="1"/>
    <col min="1775" max="1775" width="3.7109375" style="239" customWidth="1"/>
    <col min="1776" max="1776" width="20.140625" style="239" bestFit="1" customWidth="1"/>
    <col min="1777" max="1777" width="15.7109375" style="239" customWidth="1"/>
    <col min="1778" max="1778" width="3.7109375" style="239" customWidth="1"/>
    <col min="1779" max="1779" width="10.42578125" style="239" customWidth="1"/>
    <col min="1780" max="1780" width="22.7109375" style="239" customWidth="1"/>
    <col min="1781" max="1781" width="17.28515625" style="239" bestFit="1" customWidth="1"/>
    <col min="1782" max="1782" width="11" style="239" bestFit="1" customWidth="1"/>
    <col min="1783" max="1783" width="19.85546875" style="239" bestFit="1" customWidth="1"/>
    <col min="1784" max="1786" width="9.140625" style="239" customWidth="1"/>
    <col min="1787" max="1787" width="16.7109375" style="239" customWidth="1"/>
    <col min="1788" max="2014" width="9.140625" style="239"/>
    <col min="2015" max="2015" width="11.5703125" style="239" customWidth="1"/>
    <col min="2016" max="2016" width="27.42578125" style="239" customWidth="1"/>
    <col min="2017" max="2017" width="134.28515625" style="239" customWidth="1"/>
    <col min="2018" max="2018" width="11.140625" style="239" customWidth="1"/>
    <col min="2019" max="2019" width="21.42578125" style="239" customWidth="1"/>
    <col min="2020" max="2020" width="19.42578125" style="239" customWidth="1"/>
    <col min="2021" max="2021" width="14.140625" style="239" customWidth="1"/>
    <col min="2022" max="2022" width="12.7109375" style="239" customWidth="1"/>
    <col min="2023" max="2023" width="23.42578125" style="239" customWidth="1"/>
    <col min="2024" max="2024" width="25.85546875" style="239" customWidth="1"/>
    <col min="2025" max="2025" width="23.7109375" style="239" customWidth="1"/>
    <col min="2026" max="2026" width="20.28515625" style="239" customWidth="1"/>
    <col min="2027" max="2027" width="24.140625" style="239" customWidth="1"/>
    <col min="2028" max="2028" width="18.7109375" style="239" bestFit="1" customWidth="1"/>
    <col min="2029" max="2029" width="12.140625" style="239" bestFit="1" customWidth="1"/>
    <col min="2030" max="2030" width="19.85546875" style="239" bestFit="1" customWidth="1"/>
    <col min="2031" max="2031" width="3.7109375" style="239" customWidth="1"/>
    <col min="2032" max="2032" width="20.140625" style="239" bestFit="1" customWidth="1"/>
    <col min="2033" max="2033" width="15.7109375" style="239" customWidth="1"/>
    <col min="2034" max="2034" width="3.7109375" style="239" customWidth="1"/>
    <col min="2035" max="2035" width="10.42578125" style="239" customWidth="1"/>
    <col min="2036" max="2036" width="22.7109375" style="239" customWidth="1"/>
    <col min="2037" max="2037" width="17.28515625" style="239" bestFit="1" customWidth="1"/>
    <col min="2038" max="2038" width="11" style="239" bestFit="1" customWidth="1"/>
    <col min="2039" max="2039" width="19.85546875" style="239" bestFit="1" customWidth="1"/>
    <col min="2040" max="2042" width="9.140625" style="239" customWidth="1"/>
    <col min="2043" max="2043" width="16.7109375" style="239" customWidth="1"/>
    <col min="2044" max="2270" width="9.140625" style="239"/>
    <col min="2271" max="2271" width="11.5703125" style="239" customWidth="1"/>
    <col min="2272" max="2272" width="27.42578125" style="239" customWidth="1"/>
    <col min="2273" max="2273" width="134.28515625" style="239" customWidth="1"/>
    <col min="2274" max="2274" width="11.140625" style="239" customWidth="1"/>
    <col min="2275" max="2275" width="21.42578125" style="239" customWidth="1"/>
    <col min="2276" max="2276" width="19.42578125" style="239" customWidth="1"/>
    <col min="2277" max="2277" width="14.140625" style="239" customWidth="1"/>
    <col min="2278" max="2278" width="12.7109375" style="239" customWidth="1"/>
    <col min="2279" max="2279" width="23.42578125" style="239" customWidth="1"/>
    <col min="2280" max="2280" width="25.85546875" style="239" customWidth="1"/>
    <col min="2281" max="2281" width="23.7109375" style="239" customWidth="1"/>
    <col min="2282" max="2282" width="20.28515625" style="239" customWidth="1"/>
    <col min="2283" max="2283" width="24.140625" style="239" customWidth="1"/>
    <col min="2284" max="2284" width="18.7109375" style="239" bestFit="1" customWidth="1"/>
    <col min="2285" max="2285" width="12.140625" style="239" bestFit="1" customWidth="1"/>
    <col min="2286" max="2286" width="19.85546875" style="239" bestFit="1" customWidth="1"/>
    <col min="2287" max="2287" width="3.7109375" style="239" customWidth="1"/>
    <col min="2288" max="2288" width="20.140625" style="239" bestFit="1" customWidth="1"/>
    <col min="2289" max="2289" width="15.7109375" style="239" customWidth="1"/>
    <col min="2290" max="2290" width="3.7109375" style="239" customWidth="1"/>
    <col min="2291" max="2291" width="10.42578125" style="239" customWidth="1"/>
    <col min="2292" max="2292" width="22.7109375" style="239" customWidth="1"/>
    <col min="2293" max="2293" width="17.28515625" style="239" bestFit="1" customWidth="1"/>
    <col min="2294" max="2294" width="11" style="239" bestFit="1" customWidth="1"/>
    <col min="2295" max="2295" width="19.85546875" style="239" bestFit="1" customWidth="1"/>
    <col min="2296" max="2298" width="9.140625" style="239" customWidth="1"/>
    <col min="2299" max="2299" width="16.7109375" style="239" customWidth="1"/>
    <col min="2300" max="2526" width="9.140625" style="239"/>
    <col min="2527" max="2527" width="11.5703125" style="239" customWidth="1"/>
    <col min="2528" max="2528" width="27.42578125" style="239" customWidth="1"/>
    <col min="2529" max="2529" width="134.28515625" style="239" customWidth="1"/>
    <col min="2530" max="2530" width="11.140625" style="239" customWidth="1"/>
    <col min="2531" max="2531" width="21.42578125" style="239" customWidth="1"/>
    <col min="2532" max="2532" width="19.42578125" style="239" customWidth="1"/>
    <col min="2533" max="2533" width="14.140625" style="239" customWidth="1"/>
    <col min="2534" max="2534" width="12.7109375" style="239" customWidth="1"/>
    <col min="2535" max="2535" width="23.42578125" style="239" customWidth="1"/>
    <col min="2536" max="2536" width="25.85546875" style="239" customWidth="1"/>
    <col min="2537" max="2537" width="23.7109375" style="239" customWidth="1"/>
    <col min="2538" max="2538" width="20.28515625" style="239" customWidth="1"/>
    <col min="2539" max="2539" width="24.140625" style="239" customWidth="1"/>
    <col min="2540" max="2540" width="18.7109375" style="239" bestFit="1" customWidth="1"/>
    <col min="2541" max="2541" width="12.140625" style="239" bestFit="1" customWidth="1"/>
    <col min="2542" max="2542" width="19.85546875" style="239" bestFit="1" customWidth="1"/>
    <col min="2543" max="2543" width="3.7109375" style="239" customWidth="1"/>
    <col min="2544" max="2544" width="20.140625" style="239" bestFit="1" customWidth="1"/>
    <col min="2545" max="2545" width="15.7109375" style="239" customWidth="1"/>
    <col min="2546" max="2546" width="3.7109375" style="239" customWidth="1"/>
    <col min="2547" max="2547" width="10.42578125" style="239" customWidth="1"/>
    <col min="2548" max="2548" width="22.7109375" style="239" customWidth="1"/>
    <col min="2549" max="2549" width="17.28515625" style="239" bestFit="1" customWidth="1"/>
    <col min="2550" max="2550" width="11" style="239" bestFit="1" customWidth="1"/>
    <col min="2551" max="2551" width="19.85546875" style="239" bestFit="1" customWidth="1"/>
    <col min="2552" max="2554" width="9.140625" style="239" customWidth="1"/>
    <col min="2555" max="2555" width="16.7109375" style="239" customWidth="1"/>
    <col min="2556" max="2782" width="9.140625" style="239"/>
    <col min="2783" max="2783" width="11.5703125" style="239" customWidth="1"/>
    <col min="2784" max="2784" width="27.42578125" style="239" customWidth="1"/>
    <col min="2785" max="2785" width="134.28515625" style="239" customWidth="1"/>
    <col min="2786" max="2786" width="11.140625" style="239" customWidth="1"/>
    <col min="2787" max="2787" width="21.42578125" style="239" customWidth="1"/>
    <col min="2788" max="2788" width="19.42578125" style="239" customWidth="1"/>
    <col min="2789" max="2789" width="14.140625" style="239" customWidth="1"/>
    <col min="2790" max="2790" width="12.7109375" style="239" customWidth="1"/>
    <col min="2791" max="2791" width="23.42578125" style="239" customWidth="1"/>
    <col min="2792" max="2792" width="25.85546875" style="239" customWidth="1"/>
    <col min="2793" max="2793" width="23.7109375" style="239" customWidth="1"/>
    <col min="2794" max="2794" width="20.28515625" style="239" customWidth="1"/>
    <col min="2795" max="2795" width="24.140625" style="239" customWidth="1"/>
    <col min="2796" max="2796" width="18.7109375" style="239" bestFit="1" customWidth="1"/>
    <col min="2797" max="2797" width="12.140625" style="239" bestFit="1" customWidth="1"/>
    <col min="2798" max="2798" width="19.85546875" style="239" bestFit="1" customWidth="1"/>
    <col min="2799" max="2799" width="3.7109375" style="239" customWidth="1"/>
    <col min="2800" max="2800" width="20.140625" style="239" bestFit="1" customWidth="1"/>
    <col min="2801" max="2801" width="15.7109375" style="239" customWidth="1"/>
    <col min="2802" max="2802" width="3.7109375" style="239" customWidth="1"/>
    <col min="2803" max="2803" width="10.42578125" style="239" customWidth="1"/>
    <col min="2804" max="2804" width="22.7109375" style="239" customWidth="1"/>
    <col min="2805" max="2805" width="17.28515625" style="239" bestFit="1" customWidth="1"/>
    <col min="2806" max="2806" width="11" style="239" bestFit="1" customWidth="1"/>
    <col min="2807" max="2807" width="19.85546875" style="239" bestFit="1" customWidth="1"/>
    <col min="2808" max="2810" width="9.140625" style="239" customWidth="1"/>
    <col min="2811" max="2811" width="16.7109375" style="239" customWidth="1"/>
    <col min="2812" max="3038" width="9.140625" style="239"/>
    <col min="3039" max="3039" width="11.5703125" style="239" customWidth="1"/>
    <col min="3040" max="3040" width="27.42578125" style="239" customWidth="1"/>
    <col min="3041" max="3041" width="134.28515625" style="239" customWidth="1"/>
    <col min="3042" max="3042" width="11.140625" style="239" customWidth="1"/>
    <col min="3043" max="3043" width="21.42578125" style="239" customWidth="1"/>
    <col min="3044" max="3044" width="19.42578125" style="239" customWidth="1"/>
    <col min="3045" max="3045" width="14.140625" style="239" customWidth="1"/>
    <col min="3046" max="3046" width="12.7109375" style="239" customWidth="1"/>
    <col min="3047" max="3047" width="23.42578125" style="239" customWidth="1"/>
    <col min="3048" max="3048" width="25.85546875" style="239" customWidth="1"/>
    <col min="3049" max="3049" width="23.7109375" style="239" customWidth="1"/>
    <col min="3050" max="3050" width="20.28515625" style="239" customWidth="1"/>
    <col min="3051" max="3051" width="24.140625" style="239" customWidth="1"/>
    <col min="3052" max="3052" width="18.7109375" style="239" bestFit="1" customWidth="1"/>
    <col min="3053" max="3053" width="12.140625" style="239" bestFit="1" customWidth="1"/>
    <col min="3054" max="3054" width="19.85546875" style="239" bestFit="1" customWidth="1"/>
    <col min="3055" max="3055" width="3.7109375" style="239" customWidth="1"/>
    <col min="3056" max="3056" width="20.140625" style="239" bestFit="1" customWidth="1"/>
    <col min="3057" max="3057" width="15.7109375" style="239" customWidth="1"/>
    <col min="3058" max="3058" width="3.7109375" style="239" customWidth="1"/>
    <col min="3059" max="3059" width="10.42578125" style="239" customWidth="1"/>
    <col min="3060" max="3060" width="22.7109375" style="239" customWidth="1"/>
    <col min="3061" max="3061" width="17.28515625" style="239" bestFit="1" customWidth="1"/>
    <col min="3062" max="3062" width="11" style="239" bestFit="1" customWidth="1"/>
    <col min="3063" max="3063" width="19.85546875" style="239" bestFit="1" customWidth="1"/>
    <col min="3064" max="3066" width="9.140625" style="239" customWidth="1"/>
    <col min="3067" max="3067" width="16.7109375" style="239" customWidth="1"/>
    <col min="3068" max="3294" width="9.140625" style="239"/>
    <col min="3295" max="3295" width="11.5703125" style="239" customWidth="1"/>
    <col min="3296" max="3296" width="27.42578125" style="239" customWidth="1"/>
    <col min="3297" max="3297" width="134.28515625" style="239" customWidth="1"/>
    <col min="3298" max="3298" width="11.140625" style="239" customWidth="1"/>
    <col min="3299" max="3299" width="21.42578125" style="239" customWidth="1"/>
    <col min="3300" max="3300" width="19.42578125" style="239" customWidth="1"/>
    <col min="3301" max="3301" width="14.140625" style="239" customWidth="1"/>
    <col min="3302" max="3302" width="12.7109375" style="239" customWidth="1"/>
    <col min="3303" max="3303" width="23.42578125" style="239" customWidth="1"/>
    <col min="3304" max="3304" width="25.85546875" style="239" customWidth="1"/>
    <col min="3305" max="3305" width="23.7109375" style="239" customWidth="1"/>
    <col min="3306" max="3306" width="20.28515625" style="239" customWidth="1"/>
    <col min="3307" max="3307" width="24.140625" style="239" customWidth="1"/>
    <col min="3308" max="3308" width="18.7109375" style="239" bestFit="1" customWidth="1"/>
    <col min="3309" max="3309" width="12.140625" style="239" bestFit="1" customWidth="1"/>
    <col min="3310" max="3310" width="19.85546875" style="239" bestFit="1" customWidth="1"/>
    <col min="3311" max="3311" width="3.7109375" style="239" customWidth="1"/>
    <col min="3312" max="3312" width="20.140625" style="239" bestFit="1" customWidth="1"/>
    <col min="3313" max="3313" width="15.7109375" style="239" customWidth="1"/>
    <col min="3314" max="3314" width="3.7109375" style="239" customWidth="1"/>
    <col min="3315" max="3315" width="10.42578125" style="239" customWidth="1"/>
    <col min="3316" max="3316" width="22.7109375" style="239" customWidth="1"/>
    <col min="3317" max="3317" width="17.28515625" style="239" bestFit="1" customWidth="1"/>
    <col min="3318" max="3318" width="11" style="239" bestFit="1" customWidth="1"/>
    <col min="3319" max="3319" width="19.85546875" style="239" bestFit="1" customWidth="1"/>
    <col min="3320" max="3322" width="9.140625" style="239" customWidth="1"/>
    <col min="3323" max="3323" width="16.7109375" style="239" customWidth="1"/>
    <col min="3324" max="3550" width="9.140625" style="239"/>
    <col min="3551" max="3551" width="11.5703125" style="239" customWidth="1"/>
    <col min="3552" max="3552" width="27.42578125" style="239" customWidth="1"/>
    <col min="3553" max="3553" width="134.28515625" style="239" customWidth="1"/>
    <col min="3554" max="3554" width="11.140625" style="239" customWidth="1"/>
    <col min="3555" max="3555" width="21.42578125" style="239" customWidth="1"/>
    <col min="3556" max="3556" width="19.42578125" style="239" customWidth="1"/>
    <col min="3557" max="3557" width="14.140625" style="239" customWidth="1"/>
    <col min="3558" max="3558" width="12.7109375" style="239" customWidth="1"/>
    <col min="3559" max="3559" width="23.42578125" style="239" customWidth="1"/>
    <col min="3560" max="3560" width="25.85546875" style="239" customWidth="1"/>
    <col min="3561" max="3561" width="23.7109375" style="239" customWidth="1"/>
    <col min="3562" max="3562" width="20.28515625" style="239" customWidth="1"/>
    <col min="3563" max="3563" width="24.140625" style="239" customWidth="1"/>
    <col min="3564" max="3564" width="18.7109375" style="239" bestFit="1" customWidth="1"/>
    <col min="3565" max="3565" width="12.140625" style="239" bestFit="1" customWidth="1"/>
    <col min="3566" max="3566" width="19.85546875" style="239" bestFit="1" customWidth="1"/>
    <col min="3567" max="3567" width="3.7109375" style="239" customWidth="1"/>
    <col min="3568" max="3568" width="20.140625" style="239" bestFit="1" customWidth="1"/>
    <col min="3569" max="3569" width="15.7109375" style="239" customWidth="1"/>
    <col min="3570" max="3570" width="3.7109375" style="239" customWidth="1"/>
    <col min="3571" max="3571" width="10.42578125" style="239" customWidth="1"/>
    <col min="3572" max="3572" width="22.7109375" style="239" customWidth="1"/>
    <col min="3573" max="3573" width="17.28515625" style="239" bestFit="1" customWidth="1"/>
    <col min="3574" max="3574" width="11" style="239" bestFit="1" customWidth="1"/>
    <col min="3575" max="3575" width="19.85546875" style="239" bestFit="1" customWidth="1"/>
    <col min="3576" max="3578" width="9.140625" style="239" customWidth="1"/>
    <col min="3579" max="3579" width="16.7109375" style="239" customWidth="1"/>
    <col min="3580" max="3806" width="9.140625" style="239"/>
    <col min="3807" max="3807" width="11.5703125" style="239" customWidth="1"/>
    <col min="3808" max="3808" width="27.42578125" style="239" customWidth="1"/>
    <col min="3809" max="3809" width="134.28515625" style="239" customWidth="1"/>
    <col min="3810" max="3810" width="11.140625" style="239" customWidth="1"/>
    <col min="3811" max="3811" width="21.42578125" style="239" customWidth="1"/>
    <col min="3812" max="3812" width="19.42578125" style="239" customWidth="1"/>
    <col min="3813" max="3813" width="14.140625" style="239" customWidth="1"/>
    <col min="3814" max="3814" width="12.7109375" style="239" customWidth="1"/>
    <col min="3815" max="3815" width="23.42578125" style="239" customWidth="1"/>
    <col min="3816" max="3816" width="25.85546875" style="239" customWidth="1"/>
    <col min="3817" max="3817" width="23.7109375" style="239" customWidth="1"/>
    <col min="3818" max="3818" width="20.28515625" style="239" customWidth="1"/>
    <col min="3819" max="3819" width="24.140625" style="239" customWidth="1"/>
    <col min="3820" max="3820" width="18.7109375" style="239" bestFit="1" customWidth="1"/>
    <col min="3821" max="3821" width="12.140625" style="239" bestFit="1" customWidth="1"/>
    <col min="3822" max="3822" width="19.85546875" style="239" bestFit="1" customWidth="1"/>
    <col min="3823" max="3823" width="3.7109375" style="239" customWidth="1"/>
    <col min="3824" max="3824" width="20.140625" style="239" bestFit="1" customWidth="1"/>
    <col min="3825" max="3825" width="15.7109375" style="239" customWidth="1"/>
    <col min="3826" max="3826" width="3.7109375" style="239" customWidth="1"/>
    <col min="3827" max="3827" width="10.42578125" style="239" customWidth="1"/>
    <col min="3828" max="3828" width="22.7109375" style="239" customWidth="1"/>
    <col min="3829" max="3829" width="17.28515625" style="239" bestFit="1" customWidth="1"/>
    <col min="3830" max="3830" width="11" style="239" bestFit="1" customWidth="1"/>
    <col min="3831" max="3831" width="19.85546875" style="239" bestFit="1" customWidth="1"/>
    <col min="3832" max="3834" width="9.140625" style="239" customWidth="1"/>
    <col min="3835" max="3835" width="16.7109375" style="239" customWidth="1"/>
    <col min="3836" max="4062" width="9.140625" style="239"/>
    <col min="4063" max="4063" width="11.5703125" style="239" customWidth="1"/>
    <col min="4064" max="4064" width="27.42578125" style="239" customWidth="1"/>
    <col min="4065" max="4065" width="134.28515625" style="239" customWidth="1"/>
    <col min="4066" max="4066" width="11.140625" style="239" customWidth="1"/>
    <col min="4067" max="4067" width="21.42578125" style="239" customWidth="1"/>
    <col min="4068" max="4068" width="19.42578125" style="239" customWidth="1"/>
    <col min="4069" max="4069" width="14.140625" style="239" customWidth="1"/>
    <col min="4070" max="4070" width="12.7109375" style="239" customWidth="1"/>
    <col min="4071" max="4071" width="23.42578125" style="239" customWidth="1"/>
    <col min="4072" max="4072" width="25.85546875" style="239" customWidth="1"/>
    <col min="4073" max="4073" width="23.7109375" style="239" customWidth="1"/>
    <col min="4074" max="4074" width="20.28515625" style="239" customWidth="1"/>
    <col min="4075" max="4075" width="24.140625" style="239" customWidth="1"/>
    <col min="4076" max="4076" width="18.7109375" style="239" bestFit="1" customWidth="1"/>
    <col min="4077" max="4077" width="12.140625" style="239" bestFit="1" customWidth="1"/>
    <col min="4078" max="4078" width="19.85546875" style="239" bestFit="1" customWidth="1"/>
    <col min="4079" max="4079" width="3.7109375" style="239" customWidth="1"/>
    <col min="4080" max="4080" width="20.140625" style="239" bestFit="1" customWidth="1"/>
    <col min="4081" max="4081" width="15.7109375" style="239" customWidth="1"/>
    <col min="4082" max="4082" width="3.7109375" style="239" customWidth="1"/>
    <col min="4083" max="4083" width="10.42578125" style="239" customWidth="1"/>
    <col min="4084" max="4084" width="22.7109375" style="239" customWidth="1"/>
    <col min="4085" max="4085" width="17.28515625" style="239" bestFit="1" customWidth="1"/>
    <col min="4086" max="4086" width="11" style="239" bestFit="1" customWidth="1"/>
    <col min="4087" max="4087" width="19.85546875" style="239" bestFit="1" customWidth="1"/>
    <col min="4088" max="4090" width="9.140625" style="239" customWidth="1"/>
    <col min="4091" max="4091" width="16.7109375" style="239" customWidth="1"/>
    <col min="4092" max="4318" width="9.140625" style="239"/>
    <col min="4319" max="4319" width="11.5703125" style="239" customWidth="1"/>
    <col min="4320" max="4320" width="27.42578125" style="239" customWidth="1"/>
    <col min="4321" max="4321" width="134.28515625" style="239" customWidth="1"/>
    <col min="4322" max="4322" width="11.140625" style="239" customWidth="1"/>
    <col min="4323" max="4323" width="21.42578125" style="239" customWidth="1"/>
    <col min="4324" max="4324" width="19.42578125" style="239" customWidth="1"/>
    <col min="4325" max="4325" width="14.140625" style="239" customWidth="1"/>
    <col min="4326" max="4326" width="12.7109375" style="239" customWidth="1"/>
    <col min="4327" max="4327" width="23.42578125" style="239" customWidth="1"/>
    <col min="4328" max="4328" width="25.85546875" style="239" customWidth="1"/>
    <col min="4329" max="4329" width="23.7109375" style="239" customWidth="1"/>
    <col min="4330" max="4330" width="20.28515625" style="239" customWidth="1"/>
    <col min="4331" max="4331" width="24.140625" style="239" customWidth="1"/>
    <col min="4332" max="4332" width="18.7109375" style="239" bestFit="1" customWidth="1"/>
    <col min="4333" max="4333" width="12.140625" style="239" bestFit="1" customWidth="1"/>
    <col min="4334" max="4334" width="19.85546875" style="239" bestFit="1" customWidth="1"/>
    <col min="4335" max="4335" width="3.7109375" style="239" customWidth="1"/>
    <col min="4336" max="4336" width="20.140625" style="239" bestFit="1" customWidth="1"/>
    <col min="4337" max="4337" width="15.7109375" style="239" customWidth="1"/>
    <col min="4338" max="4338" width="3.7109375" style="239" customWidth="1"/>
    <col min="4339" max="4339" width="10.42578125" style="239" customWidth="1"/>
    <col min="4340" max="4340" width="22.7109375" style="239" customWidth="1"/>
    <col min="4341" max="4341" width="17.28515625" style="239" bestFit="1" customWidth="1"/>
    <col min="4342" max="4342" width="11" style="239" bestFit="1" customWidth="1"/>
    <col min="4343" max="4343" width="19.85546875" style="239" bestFit="1" customWidth="1"/>
    <col min="4344" max="4346" width="9.140625" style="239" customWidth="1"/>
    <col min="4347" max="4347" width="16.7109375" style="239" customWidth="1"/>
    <col min="4348" max="4574" width="9.140625" style="239"/>
    <col min="4575" max="4575" width="11.5703125" style="239" customWidth="1"/>
    <col min="4576" max="4576" width="27.42578125" style="239" customWidth="1"/>
    <col min="4577" max="4577" width="134.28515625" style="239" customWidth="1"/>
    <col min="4578" max="4578" width="11.140625" style="239" customWidth="1"/>
    <col min="4579" max="4579" width="21.42578125" style="239" customWidth="1"/>
    <col min="4580" max="4580" width="19.42578125" style="239" customWidth="1"/>
    <col min="4581" max="4581" width="14.140625" style="239" customWidth="1"/>
    <col min="4582" max="4582" width="12.7109375" style="239" customWidth="1"/>
    <col min="4583" max="4583" width="23.42578125" style="239" customWidth="1"/>
    <col min="4584" max="4584" width="25.85546875" style="239" customWidth="1"/>
    <col min="4585" max="4585" width="23.7109375" style="239" customWidth="1"/>
    <col min="4586" max="4586" width="20.28515625" style="239" customWidth="1"/>
    <col min="4587" max="4587" width="24.140625" style="239" customWidth="1"/>
    <col min="4588" max="4588" width="18.7109375" style="239" bestFit="1" customWidth="1"/>
    <col min="4589" max="4589" width="12.140625" style="239" bestFit="1" customWidth="1"/>
    <col min="4590" max="4590" width="19.85546875" style="239" bestFit="1" customWidth="1"/>
    <col min="4591" max="4591" width="3.7109375" style="239" customWidth="1"/>
    <col min="4592" max="4592" width="20.140625" style="239" bestFit="1" customWidth="1"/>
    <col min="4593" max="4593" width="15.7109375" style="239" customWidth="1"/>
    <col min="4594" max="4594" width="3.7109375" style="239" customWidth="1"/>
    <col min="4595" max="4595" width="10.42578125" style="239" customWidth="1"/>
    <col min="4596" max="4596" width="22.7109375" style="239" customWidth="1"/>
    <col min="4597" max="4597" width="17.28515625" style="239" bestFit="1" customWidth="1"/>
    <col min="4598" max="4598" width="11" style="239" bestFit="1" customWidth="1"/>
    <col min="4599" max="4599" width="19.85546875" style="239" bestFit="1" customWidth="1"/>
    <col min="4600" max="4602" width="9.140625" style="239" customWidth="1"/>
    <col min="4603" max="4603" width="16.7109375" style="239" customWidth="1"/>
    <col min="4604" max="4830" width="9.140625" style="239"/>
    <col min="4831" max="4831" width="11.5703125" style="239" customWidth="1"/>
    <col min="4832" max="4832" width="27.42578125" style="239" customWidth="1"/>
    <col min="4833" max="4833" width="134.28515625" style="239" customWidth="1"/>
    <col min="4834" max="4834" width="11.140625" style="239" customWidth="1"/>
    <col min="4835" max="4835" width="21.42578125" style="239" customWidth="1"/>
    <col min="4836" max="4836" width="19.42578125" style="239" customWidth="1"/>
    <col min="4837" max="4837" width="14.140625" style="239" customWidth="1"/>
    <col min="4838" max="4838" width="12.7109375" style="239" customWidth="1"/>
    <col min="4839" max="4839" width="23.42578125" style="239" customWidth="1"/>
    <col min="4840" max="4840" width="25.85546875" style="239" customWidth="1"/>
    <col min="4841" max="4841" width="23.7109375" style="239" customWidth="1"/>
    <col min="4842" max="4842" width="20.28515625" style="239" customWidth="1"/>
    <col min="4843" max="4843" width="24.140625" style="239" customWidth="1"/>
    <col min="4844" max="4844" width="18.7109375" style="239" bestFit="1" customWidth="1"/>
    <col min="4845" max="4845" width="12.140625" style="239" bestFit="1" customWidth="1"/>
    <col min="4846" max="4846" width="19.85546875" style="239" bestFit="1" customWidth="1"/>
    <col min="4847" max="4847" width="3.7109375" style="239" customWidth="1"/>
    <col min="4848" max="4848" width="20.140625" style="239" bestFit="1" customWidth="1"/>
    <col min="4849" max="4849" width="15.7109375" style="239" customWidth="1"/>
    <col min="4850" max="4850" width="3.7109375" style="239" customWidth="1"/>
    <col min="4851" max="4851" width="10.42578125" style="239" customWidth="1"/>
    <col min="4852" max="4852" width="22.7109375" style="239" customWidth="1"/>
    <col min="4853" max="4853" width="17.28515625" style="239" bestFit="1" customWidth="1"/>
    <col min="4854" max="4854" width="11" style="239" bestFit="1" customWidth="1"/>
    <col min="4855" max="4855" width="19.85546875" style="239" bestFit="1" customWidth="1"/>
    <col min="4856" max="4858" width="9.140625" style="239" customWidth="1"/>
    <col min="4859" max="4859" width="16.7109375" style="239" customWidth="1"/>
    <col min="4860" max="5086" width="9.140625" style="239"/>
    <col min="5087" max="5087" width="11.5703125" style="239" customWidth="1"/>
    <col min="5088" max="5088" width="27.42578125" style="239" customWidth="1"/>
    <col min="5089" max="5089" width="134.28515625" style="239" customWidth="1"/>
    <col min="5090" max="5090" width="11.140625" style="239" customWidth="1"/>
    <col min="5091" max="5091" width="21.42578125" style="239" customWidth="1"/>
    <col min="5092" max="5092" width="19.42578125" style="239" customWidth="1"/>
    <col min="5093" max="5093" width="14.140625" style="239" customWidth="1"/>
    <col min="5094" max="5094" width="12.7109375" style="239" customWidth="1"/>
    <col min="5095" max="5095" width="23.42578125" style="239" customWidth="1"/>
    <col min="5096" max="5096" width="25.85546875" style="239" customWidth="1"/>
    <col min="5097" max="5097" width="23.7109375" style="239" customWidth="1"/>
    <col min="5098" max="5098" width="20.28515625" style="239" customWidth="1"/>
    <col min="5099" max="5099" width="24.140625" style="239" customWidth="1"/>
    <col min="5100" max="5100" width="18.7109375" style="239" bestFit="1" customWidth="1"/>
    <col min="5101" max="5101" width="12.140625" style="239" bestFit="1" customWidth="1"/>
    <col min="5102" max="5102" width="19.85546875" style="239" bestFit="1" customWidth="1"/>
    <col min="5103" max="5103" width="3.7109375" style="239" customWidth="1"/>
    <col min="5104" max="5104" width="20.140625" style="239" bestFit="1" customWidth="1"/>
    <col min="5105" max="5105" width="15.7109375" style="239" customWidth="1"/>
    <col min="5106" max="5106" width="3.7109375" style="239" customWidth="1"/>
    <col min="5107" max="5107" width="10.42578125" style="239" customWidth="1"/>
    <col min="5108" max="5108" width="22.7109375" style="239" customWidth="1"/>
    <col min="5109" max="5109" width="17.28515625" style="239" bestFit="1" customWidth="1"/>
    <col min="5110" max="5110" width="11" style="239" bestFit="1" customWidth="1"/>
    <col min="5111" max="5111" width="19.85546875" style="239" bestFit="1" customWidth="1"/>
    <col min="5112" max="5114" width="9.140625" style="239" customWidth="1"/>
    <col min="5115" max="5115" width="16.7109375" style="239" customWidth="1"/>
    <col min="5116" max="5342" width="9.140625" style="239"/>
    <col min="5343" max="5343" width="11.5703125" style="239" customWidth="1"/>
    <col min="5344" max="5344" width="27.42578125" style="239" customWidth="1"/>
    <col min="5345" max="5345" width="134.28515625" style="239" customWidth="1"/>
    <col min="5346" max="5346" width="11.140625" style="239" customWidth="1"/>
    <col min="5347" max="5347" width="21.42578125" style="239" customWidth="1"/>
    <col min="5348" max="5348" width="19.42578125" style="239" customWidth="1"/>
    <col min="5349" max="5349" width="14.140625" style="239" customWidth="1"/>
    <col min="5350" max="5350" width="12.7109375" style="239" customWidth="1"/>
    <col min="5351" max="5351" width="23.42578125" style="239" customWidth="1"/>
    <col min="5352" max="5352" width="25.85546875" style="239" customWidth="1"/>
    <col min="5353" max="5353" width="23.7109375" style="239" customWidth="1"/>
    <col min="5354" max="5354" width="20.28515625" style="239" customWidth="1"/>
    <col min="5355" max="5355" width="24.140625" style="239" customWidth="1"/>
    <col min="5356" max="5356" width="18.7109375" style="239" bestFit="1" customWidth="1"/>
    <col min="5357" max="5357" width="12.140625" style="239" bestFit="1" customWidth="1"/>
    <col min="5358" max="5358" width="19.85546875" style="239" bestFit="1" customWidth="1"/>
    <col min="5359" max="5359" width="3.7109375" style="239" customWidth="1"/>
    <col min="5360" max="5360" width="20.140625" style="239" bestFit="1" customWidth="1"/>
    <col min="5361" max="5361" width="15.7109375" style="239" customWidth="1"/>
    <col min="5362" max="5362" width="3.7109375" style="239" customWidth="1"/>
    <col min="5363" max="5363" width="10.42578125" style="239" customWidth="1"/>
    <col min="5364" max="5364" width="22.7109375" style="239" customWidth="1"/>
    <col min="5365" max="5365" width="17.28515625" style="239" bestFit="1" customWidth="1"/>
    <col min="5366" max="5366" width="11" style="239" bestFit="1" customWidth="1"/>
    <col min="5367" max="5367" width="19.85546875" style="239" bestFit="1" customWidth="1"/>
    <col min="5368" max="5370" width="9.140625" style="239" customWidth="1"/>
    <col min="5371" max="5371" width="16.7109375" style="239" customWidth="1"/>
    <col min="5372" max="5598" width="9.140625" style="239"/>
    <col min="5599" max="5599" width="11.5703125" style="239" customWidth="1"/>
    <col min="5600" max="5600" width="27.42578125" style="239" customWidth="1"/>
    <col min="5601" max="5601" width="134.28515625" style="239" customWidth="1"/>
    <col min="5602" max="5602" width="11.140625" style="239" customWidth="1"/>
    <col min="5603" max="5603" width="21.42578125" style="239" customWidth="1"/>
    <col min="5604" max="5604" width="19.42578125" style="239" customWidth="1"/>
    <col min="5605" max="5605" width="14.140625" style="239" customWidth="1"/>
    <col min="5606" max="5606" width="12.7109375" style="239" customWidth="1"/>
    <col min="5607" max="5607" width="23.42578125" style="239" customWidth="1"/>
    <col min="5608" max="5608" width="25.85546875" style="239" customWidth="1"/>
    <col min="5609" max="5609" width="23.7109375" style="239" customWidth="1"/>
    <col min="5610" max="5610" width="20.28515625" style="239" customWidth="1"/>
    <col min="5611" max="5611" width="24.140625" style="239" customWidth="1"/>
    <col min="5612" max="5612" width="18.7109375" style="239" bestFit="1" customWidth="1"/>
    <col min="5613" max="5613" width="12.140625" style="239" bestFit="1" customWidth="1"/>
    <col min="5614" max="5614" width="19.85546875" style="239" bestFit="1" customWidth="1"/>
    <col min="5615" max="5615" width="3.7109375" style="239" customWidth="1"/>
    <col min="5616" max="5616" width="20.140625" style="239" bestFit="1" customWidth="1"/>
    <col min="5617" max="5617" width="15.7109375" style="239" customWidth="1"/>
    <col min="5618" max="5618" width="3.7109375" style="239" customWidth="1"/>
    <col min="5619" max="5619" width="10.42578125" style="239" customWidth="1"/>
    <col min="5620" max="5620" width="22.7109375" style="239" customWidth="1"/>
    <col min="5621" max="5621" width="17.28515625" style="239" bestFit="1" customWidth="1"/>
    <col min="5622" max="5622" width="11" style="239" bestFit="1" customWidth="1"/>
    <col min="5623" max="5623" width="19.85546875" style="239" bestFit="1" customWidth="1"/>
    <col min="5624" max="5626" width="9.140625" style="239" customWidth="1"/>
    <col min="5627" max="5627" width="16.7109375" style="239" customWidth="1"/>
    <col min="5628" max="5854" width="9.140625" style="239"/>
    <col min="5855" max="5855" width="11.5703125" style="239" customWidth="1"/>
    <col min="5856" max="5856" width="27.42578125" style="239" customWidth="1"/>
    <col min="5857" max="5857" width="134.28515625" style="239" customWidth="1"/>
    <col min="5858" max="5858" width="11.140625" style="239" customWidth="1"/>
    <col min="5859" max="5859" width="21.42578125" style="239" customWidth="1"/>
    <col min="5860" max="5860" width="19.42578125" style="239" customWidth="1"/>
    <col min="5861" max="5861" width="14.140625" style="239" customWidth="1"/>
    <col min="5862" max="5862" width="12.7109375" style="239" customWidth="1"/>
    <col min="5863" max="5863" width="23.42578125" style="239" customWidth="1"/>
    <col min="5864" max="5864" width="25.85546875" style="239" customWidth="1"/>
    <col min="5865" max="5865" width="23.7109375" style="239" customWidth="1"/>
    <col min="5866" max="5866" width="20.28515625" style="239" customWidth="1"/>
    <col min="5867" max="5867" width="24.140625" style="239" customWidth="1"/>
    <col min="5868" max="5868" width="18.7109375" style="239" bestFit="1" customWidth="1"/>
    <col min="5869" max="5869" width="12.140625" style="239" bestFit="1" customWidth="1"/>
    <col min="5870" max="5870" width="19.85546875" style="239" bestFit="1" customWidth="1"/>
    <col min="5871" max="5871" width="3.7109375" style="239" customWidth="1"/>
    <col min="5872" max="5872" width="20.140625" style="239" bestFit="1" customWidth="1"/>
    <col min="5873" max="5873" width="15.7109375" style="239" customWidth="1"/>
    <col min="5874" max="5874" width="3.7109375" style="239" customWidth="1"/>
    <col min="5875" max="5875" width="10.42578125" style="239" customWidth="1"/>
    <col min="5876" max="5876" width="22.7109375" style="239" customWidth="1"/>
    <col min="5877" max="5877" width="17.28515625" style="239" bestFit="1" customWidth="1"/>
    <col min="5878" max="5878" width="11" style="239" bestFit="1" customWidth="1"/>
    <col min="5879" max="5879" width="19.85546875" style="239" bestFit="1" customWidth="1"/>
    <col min="5880" max="5882" width="9.140625" style="239" customWidth="1"/>
    <col min="5883" max="5883" width="16.7109375" style="239" customWidth="1"/>
    <col min="5884" max="6110" width="9.140625" style="239"/>
    <col min="6111" max="6111" width="11.5703125" style="239" customWidth="1"/>
    <col min="6112" max="6112" width="27.42578125" style="239" customWidth="1"/>
    <col min="6113" max="6113" width="134.28515625" style="239" customWidth="1"/>
    <col min="6114" max="6114" width="11.140625" style="239" customWidth="1"/>
    <col min="6115" max="6115" width="21.42578125" style="239" customWidth="1"/>
    <col min="6116" max="6116" width="19.42578125" style="239" customWidth="1"/>
    <col min="6117" max="6117" width="14.140625" style="239" customWidth="1"/>
    <col min="6118" max="6118" width="12.7109375" style="239" customWidth="1"/>
    <col min="6119" max="6119" width="23.42578125" style="239" customWidth="1"/>
    <col min="6120" max="6120" width="25.85546875" style="239" customWidth="1"/>
    <col min="6121" max="6121" width="23.7109375" style="239" customWidth="1"/>
    <col min="6122" max="6122" width="20.28515625" style="239" customWidth="1"/>
    <col min="6123" max="6123" width="24.140625" style="239" customWidth="1"/>
    <col min="6124" max="6124" width="18.7109375" style="239" bestFit="1" customWidth="1"/>
    <col min="6125" max="6125" width="12.140625" style="239" bestFit="1" customWidth="1"/>
    <col min="6126" max="6126" width="19.85546875" style="239" bestFit="1" customWidth="1"/>
    <col min="6127" max="6127" width="3.7109375" style="239" customWidth="1"/>
    <col min="6128" max="6128" width="20.140625" style="239" bestFit="1" customWidth="1"/>
    <col min="6129" max="6129" width="15.7109375" style="239" customWidth="1"/>
    <col min="6130" max="6130" width="3.7109375" style="239" customWidth="1"/>
    <col min="6131" max="6131" width="10.42578125" style="239" customWidth="1"/>
    <col min="6132" max="6132" width="22.7109375" style="239" customWidth="1"/>
    <col min="6133" max="6133" width="17.28515625" style="239" bestFit="1" customWidth="1"/>
    <col min="6134" max="6134" width="11" style="239" bestFit="1" customWidth="1"/>
    <col min="6135" max="6135" width="19.85546875" style="239" bestFit="1" customWidth="1"/>
    <col min="6136" max="6138" width="9.140625" style="239" customWidth="1"/>
    <col min="6139" max="6139" width="16.7109375" style="239" customWidth="1"/>
    <col min="6140" max="6366" width="9.140625" style="239"/>
    <col min="6367" max="6367" width="11.5703125" style="239" customWidth="1"/>
    <col min="6368" max="6368" width="27.42578125" style="239" customWidth="1"/>
    <col min="6369" max="6369" width="134.28515625" style="239" customWidth="1"/>
    <col min="6370" max="6370" width="11.140625" style="239" customWidth="1"/>
    <col min="6371" max="6371" width="21.42578125" style="239" customWidth="1"/>
    <col min="6372" max="6372" width="19.42578125" style="239" customWidth="1"/>
    <col min="6373" max="6373" width="14.140625" style="239" customWidth="1"/>
    <col min="6374" max="6374" width="12.7109375" style="239" customWidth="1"/>
    <col min="6375" max="6375" width="23.42578125" style="239" customWidth="1"/>
    <col min="6376" max="6376" width="25.85546875" style="239" customWidth="1"/>
    <col min="6377" max="6377" width="23.7109375" style="239" customWidth="1"/>
    <col min="6378" max="6378" width="20.28515625" style="239" customWidth="1"/>
    <col min="6379" max="6379" width="24.140625" style="239" customWidth="1"/>
    <col min="6380" max="6380" width="18.7109375" style="239" bestFit="1" customWidth="1"/>
    <col min="6381" max="6381" width="12.140625" style="239" bestFit="1" customWidth="1"/>
    <col min="6382" max="6382" width="19.85546875" style="239" bestFit="1" customWidth="1"/>
    <col min="6383" max="6383" width="3.7109375" style="239" customWidth="1"/>
    <col min="6384" max="6384" width="20.140625" style="239" bestFit="1" customWidth="1"/>
    <col min="6385" max="6385" width="15.7109375" style="239" customWidth="1"/>
    <col min="6386" max="6386" width="3.7109375" style="239" customWidth="1"/>
    <col min="6387" max="6387" width="10.42578125" style="239" customWidth="1"/>
    <col min="6388" max="6388" width="22.7109375" style="239" customWidth="1"/>
    <col min="6389" max="6389" width="17.28515625" style="239" bestFit="1" customWidth="1"/>
    <col min="6390" max="6390" width="11" style="239" bestFit="1" customWidth="1"/>
    <col min="6391" max="6391" width="19.85546875" style="239" bestFit="1" customWidth="1"/>
    <col min="6392" max="6394" width="9.140625" style="239" customWidth="1"/>
    <col min="6395" max="6395" width="16.7109375" style="239" customWidth="1"/>
    <col min="6396" max="6622" width="9.140625" style="239"/>
    <col min="6623" max="6623" width="11.5703125" style="239" customWidth="1"/>
    <col min="6624" max="6624" width="27.42578125" style="239" customWidth="1"/>
    <col min="6625" max="6625" width="134.28515625" style="239" customWidth="1"/>
    <col min="6626" max="6626" width="11.140625" style="239" customWidth="1"/>
    <col min="6627" max="6627" width="21.42578125" style="239" customWidth="1"/>
    <col min="6628" max="6628" width="19.42578125" style="239" customWidth="1"/>
    <col min="6629" max="6629" width="14.140625" style="239" customWidth="1"/>
    <col min="6630" max="6630" width="12.7109375" style="239" customWidth="1"/>
    <col min="6631" max="6631" width="23.42578125" style="239" customWidth="1"/>
    <col min="6632" max="6632" width="25.85546875" style="239" customWidth="1"/>
    <col min="6633" max="6633" width="23.7109375" style="239" customWidth="1"/>
    <col min="6634" max="6634" width="20.28515625" style="239" customWidth="1"/>
    <col min="6635" max="6635" width="24.140625" style="239" customWidth="1"/>
    <col min="6636" max="6636" width="18.7109375" style="239" bestFit="1" customWidth="1"/>
    <col min="6637" max="6637" width="12.140625" style="239" bestFit="1" customWidth="1"/>
    <col min="6638" max="6638" width="19.85546875" style="239" bestFit="1" customWidth="1"/>
    <col min="6639" max="6639" width="3.7109375" style="239" customWidth="1"/>
    <col min="6640" max="6640" width="20.140625" style="239" bestFit="1" customWidth="1"/>
    <col min="6641" max="6641" width="15.7109375" style="239" customWidth="1"/>
    <col min="6642" max="6642" width="3.7109375" style="239" customWidth="1"/>
    <col min="6643" max="6643" width="10.42578125" style="239" customWidth="1"/>
    <col min="6644" max="6644" width="22.7109375" style="239" customWidth="1"/>
    <col min="6645" max="6645" width="17.28515625" style="239" bestFit="1" customWidth="1"/>
    <col min="6646" max="6646" width="11" style="239" bestFit="1" customWidth="1"/>
    <col min="6647" max="6647" width="19.85546875" style="239" bestFit="1" customWidth="1"/>
    <col min="6648" max="6650" width="9.140625" style="239" customWidth="1"/>
    <col min="6651" max="6651" width="16.7109375" style="239" customWidth="1"/>
    <col min="6652" max="6878" width="9.140625" style="239"/>
    <col min="6879" max="6879" width="11.5703125" style="239" customWidth="1"/>
    <col min="6880" max="6880" width="27.42578125" style="239" customWidth="1"/>
    <col min="6881" max="6881" width="134.28515625" style="239" customWidth="1"/>
    <col min="6882" max="6882" width="11.140625" style="239" customWidth="1"/>
    <col min="6883" max="6883" width="21.42578125" style="239" customWidth="1"/>
    <col min="6884" max="6884" width="19.42578125" style="239" customWidth="1"/>
    <col min="6885" max="6885" width="14.140625" style="239" customWidth="1"/>
    <col min="6886" max="6886" width="12.7109375" style="239" customWidth="1"/>
    <col min="6887" max="6887" width="23.42578125" style="239" customWidth="1"/>
    <col min="6888" max="6888" width="25.85546875" style="239" customWidth="1"/>
    <col min="6889" max="6889" width="23.7109375" style="239" customWidth="1"/>
    <col min="6890" max="6890" width="20.28515625" style="239" customWidth="1"/>
    <col min="6891" max="6891" width="24.140625" style="239" customWidth="1"/>
    <col min="6892" max="6892" width="18.7109375" style="239" bestFit="1" customWidth="1"/>
    <col min="6893" max="6893" width="12.140625" style="239" bestFit="1" customWidth="1"/>
    <col min="6894" max="6894" width="19.85546875" style="239" bestFit="1" customWidth="1"/>
    <col min="6895" max="6895" width="3.7109375" style="239" customWidth="1"/>
    <col min="6896" max="6896" width="20.140625" style="239" bestFit="1" customWidth="1"/>
    <col min="6897" max="6897" width="15.7109375" style="239" customWidth="1"/>
    <col min="6898" max="6898" width="3.7109375" style="239" customWidth="1"/>
    <col min="6899" max="6899" width="10.42578125" style="239" customWidth="1"/>
    <col min="6900" max="6900" width="22.7109375" style="239" customWidth="1"/>
    <col min="6901" max="6901" width="17.28515625" style="239" bestFit="1" customWidth="1"/>
    <col min="6902" max="6902" width="11" style="239" bestFit="1" customWidth="1"/>
    <col min="6903" max="6903" width="19.85546875" style="239" bestFit="1" customWidth="1"/>
    <col min="6904" max="6906" width="9.140625" style="239" customWidth="1"/>
    <col min="6907" max="6907" width="16.7109375" style="239" customWidth="1"/>
    <col min="6908" max="7134" width="9.140625" style="239"/>
    <col min="7135" max="7135" width="11.5703125" style="239" customWidth="1"/>
    <col min="7136" max="7136" width="27.42578125" style="239" customWidth="1"/>
    <col min="7137" max="7137" width="134.28515625" style="239" customWidth="1"/>
    <col min="7138" max="7138" width="11.140625" style="239" customWidth="1"/>
    <col min="7139" max="7139" width="21.42578125" style="239" customWidth="1"/>
    <col min="7140" max="7140" width="19.42578125" style="239" customWidth="1"/>
    <col min="7141" max="7141" width="14.140625" style="239" customWidth="1"/>
    <col min="7142" max="7142" width="12.7109375" style="239" customWidth="1"/>
    <col min="7143" max="7143" width="23.42578125" style="239" customWidth="1"/>
    <col min="7144" max="7144" width="25.85546875" style="239" customWidth="1"/>
    <col min="7145" max="7145" width="23.7109375" style="239" customWidth="1"/>
    <col min="7146" max="7146" width="20.28515625" style="239" customWidth="1"/>
    <col min="7147" max="7147" width="24.140625" style="239" customWidth="1"/>
    <col min="7148" max="7148" width="18.7109375" style="239" bestFit="1" customWidth="1"/>
    <col min="7149" max="7149" width="12.140625" style="239" bestFit="1" customWidth="1"/>
    <col min="7150" max="7150" width="19.85546875" style="239" bestFit="1" customWidth="1"/>
    <col min="7151" max="7151" width="3.7109375" style="239" customWidth="1"/>
    <col min="7152" max="7152" width="20.140625" style="239" bestFit="1" customWidth="1"/>
    <col min="7153" max="7153" width="15.7109375" style="239" customWidth="1"/>
    <col min="7154" max="7154" width="3.7109375" style="239" customWidth="1"/>
    <col min="7155" max="7155" width="10.42578125" style="239" customWidth="1"/>
    <col min="7156" max="7156" width="22.7109375" style="239" customWidth="1"/>
    <col min="7157" max="7157" width="17.28515625" style="239" bestFit="1" customWidth="1"/>
    <col min="7158" max="7158" width="11" style="239" bestFit="1" customWidth="1"/>
    <col min="7159" max="7159" width="19.85546875" style="239" bestFit="1" customWidth="1"/>
    <col min="7160" max="7162" width="9.140625" style="239" customWidth="1"/>
    <col min="7163" max="7163" width="16.7109375" style="239" customWidth="1"/>
    <col min="7164" max="7390" width="9.140625" style="239"/>
    <col min="7391" max="7391" width="11.5703125" style="239" customWidth="1"/>
    <col min="7392" max="7392" width="27.42578125" style="239" customWidth="1"/>
    <col min="7393" max="7393" width="134.28515625" style="239" customWidth="1"/>
    <col min="7394" max="7394" width="11.140625" style="239" customWidth="1"/>
    <col min="7395" max="7395" width="21.42578125" style="239" customWidth="1"/>
    <col min="7396" max="7396" width="19.42578125" style="239" customWidth="1"/>
    <col min="7397" max="7397" width="14.140625" style="239" customWidth="1"/>
    <col min="7398" max="7398" width="12.7109375" style="239" customWidth="1"/>
    <col min="7399" max="7399" width="23.42578125" style="239" customWidth="1"/>
    <col min="7400" max="7400" width="25.85546875" style="239" customWidth="1"/>
    <col min="7401" max="7401" width="23.7109375" style="239" customWidth="1"/>
    <col min="7402" max="7402" width="20.28515625" style="239" customWidth="1"/>
    <col min="7403" max="7403" width="24.140625" style="239" customWidth="1"/>
    <col min="7404" max="7404" width="18.7109375" style="239" bestFit="1" customWidth="1"/>
    <col min="7405" max="7405" width="12.140625" style="239" bestFit="1" customWidth="1"/>
    <col min="7406" max="7406" width="19.85546875" style="239" bestFit="1" customWidth="1"/>
    <col min="7407" max="7407" width="3.7109375" style="239" customWidth="1"/>
    <col min="7408" max="7408" width="20.140625" style="239" bestFit="1" customWidth="1"/>
    <col min="7409" max="7409" width="15.7109375" style="239" customWidth="1"/>
    <col min="7410" max="7410" width="3.7109375" style="239" customWidth="1"/>
    <col min="7411" max="7411" width="10.42578125" style="239" customWidth="1"/>
    <col min="7412" max="7412" width="22.7109375" style="239" customWidth="1"/>
    <col min="7413" max="7413" width="17.28515625" style="239" bestFit="1" customWidth="1"/>
    <col min="7414" max="7414" width="11" style="239" bestFit="1" customWidth="1"/>
    <col min="7415" max="7415" width="19.85546875" style="239" bestFit="1" customWidth="1"/>
    <col min="7416" max="7418" width="9.140625" style="239" customWidth="1"/>
    <col min="7419" max="7419" width="16.7109375" style="239" customWidth="1"/>
    <col min="7420" max="7646" width="9.140625" style="239"/>
    <col min="7647" max="7647" width="11.5703125" style="239" customWidth="1"/>
    <col min="7648" max="7648" width="27.42578125" style="239" customWidth="1"/>
    <col min="7649" max="7649" width="134.28515625" style="239" customWidth="1"/>
    <col min="7650" max="7650" width="11.140625" style="239" customWidth="1"/>
    <col min="7651" max="7651" width="21.42578125" style="239" customWidth="1"/>
    <col min="7652" max="7652" width="19.42578125" style="239" customWidth="1"/>
    <col min="7653" max="7653" width="14.140625" style="239" customWidth="1"/>
    <col min="7654" max="7654" width="12.7109375" style="239" customWidth="1"/>
    <col min="7655" max="7655" width="23.42578125" style="239" customWidth="1"/>
    <col min="7656" max="7656" width="25.85546875" style="239" customWidth="1"/>
    <col min="7657" max="7657" width="23.7109375" style="239" customWidth="1"/>
    <col min="7658" max="7658" width="20.28515625" style="239" customWidth="1"/>
    <col min="7659" max="7659" width="24.140625" style="239" customWidth="1"/>
    <col min="7660" max="7660" width="18.7109375" style="239" bestFit="1" customWidth="1"/>
    <col min="7661" max="7661" width="12.140625" style="239" bestFit="1" customWidth="1"/>
    <col min="7662" max="7662" width="19.85546875" style="239" bestFit="1" customWidth="1"/>
    <col min="7663" max="7663" width="3.7109375" style="239" customWidth="1"/>
    <col min="7664" max="7664" width="20.140625" style="239" bestFit="1" customWidth="1"/>
    <col min="7665" max="7665" width="15.7109375" style="239" customWidth="1"/>
    <col min="7666" max="7666" width="3.7109375" style="239" customWidth="1"/>
    <col min="7667" max="7667" width="10.42578125" style="239" customWidth="1"/>
    <col min="7668" max="7668" width="22.7109375" style="239" customWidth="1"/>
    <col min="7669" max="7669" width="17.28515625" style="239" bestFit="1" customWidth="1"/>
    <col min="7670" max="7670" width="11" style="239" bestFit="1" customWidth="1"/>
    <col min="7671" max="7671" width="19.85546875" style="239" bestFit="1" customWidth="1"/>
    <col min="7672" max="7674" width="9.140625" style="239" customWidth="1"/>
    <col min="7675" max="7675" width="16.7109375" style="239" customWidth="1"/>
    <col min="7676" max="7902" width="9.140625" style="239"/>
    <col min="7903" max="7903" width="11.5703125" style="239" customWidth="1"/>
    <col min="7904" max="7904" width="27.42578125" style="239" customWidth="1"/>
    <col min="7905" max="7905" width="134.28515625" style="239" customWidth="1"/>
    <col min="7906" max="7906" width="11.140625" style="239" customWidth="1"/>
    <col min="7907" max="7907" width="21.42578125" style="239" customWidth="1"/>
    <col min="7908" max="7908" width="19.42578125" style="239" customWidth="1"/>
    <col min="7909" max="7909" width="14.140625" style="239" customWidth="1"/>
    <col min="7910" max="7910" width="12.7109375" style="239" customWidth="1"/>
    <col min="7911" max="7911" width="23.42578125" style="239" customWidth="1"/>
    <col min="7912" max="7912" width="25.85546875" style="239" customWidth="1"/>
    <col min="7913" max="7913" width="23.7109375" style="239" customWidth="1"/>
    <col min="7914" max="7914" width="20.28515625" style="239" customWidth="1"/>
    <col min="7915" max="7915" width="24.140625" style="239" customWidth="1"/>
    <col min="7916" max="7916" width="18.7109375" style="239" bestFit="1" customWidth="1"/>
    <col min="7917" max="7917" width="12.140625" style="239" bestFit="1" customWidth="1"/>
    <col min="7918" max="7918" width="19.85546875" style="239" bestFit="1" customWidth="1"/>
    <col min="7919" max="7919" width="3.7109375" style="239" customWidth="1"/>
    <col min="7920" max="7920" width="20.140625" style="239" bestFit="1" customWidth="1"/>
    <col min="7921" max="7921" width="15.7109375" style="239" customWidth="1"/>
    <col min="7922" max="7922" width="3.7109375" style="239" customWidth="1"/>
    <col min="7923" max="7923" width="10.42578125" style="239" customWidth="1"/>
    <col min="7924" max="7924" width="22.7109375" style="239" customWidth="1"/>
    <col min="7925" max="7925" width="17.28515625" style="239" bestFit="1" customWidth="1"/>
    <col min="7926" max="7926" width="11" style="239" bestFit="1" customWidth="1"/>
    <col min="7927" max="7927" width="19.85546875" style="239" bestFit="1" customWidth="1"/>
    <col min="7928" max="7930" width="9.140625" style="239" customWidth="1"/>
    <col min="7931" max="7931" width="16.7109375" style="239" customWidth="1"/>
    <col min="7932" max="8158" width="9.140625" style="239"/>
    <col min="8159" max="8159" width="11.5703125" style="239" customWidth="1"/>
    <col min="8160" max="8160" width="27.42578125" style="239" customWidth="1"/>
    <col min="8161" max="8161" width="134.28515625" style="239" customWidth="1"/>
    <col min="8162" max="8162" width="11.140625" style="239" customWidth="1"/>
    <col min="8163" max="8163" width="21.42578125" style="239" customWidth="1"/>
    <col min="8164" max="8164" width="19.42578125" style="239" customWidth="1"/>
    <col min="8165" max="8165" width="14.140625" style="239" customWidth="1"/>
    <col min="8166" max="8166" width="12.7109375" style="239" customWidth="1"/>
    <col min="8167" max="8167" width="23.42578125" style="239" customWidth="1"/>
    <col min="8168" max="8168" width="25.85546875" style="239" customWidth="1"/>
    <col min="8169" max="8169" width="23.7109375" style="239" customWidth="1"/>
    <col min="8170" max="8170" width="20.28515625" style="239" customWidth="1"/>
    <col min="8171" max="8171" width="24.140625" style="239" customWidth="1"/>
    <col min="8172" max="8172" width="18.7109375" style="239" bestFit="1" customWidth="1"/>
    <col min="8173" max="8173" width="12.140625" style="239" bestFit="1" customWidth="1"/>
    <col min="8174" max="8174" width="19.85546875" style="239" bestFit="1" customWidth="1"/>
    <col min="8175" max="8175" width="3.7109375" style="239" customWidth="1"/>
    <col min="8176" max="8176" width="20.140625" style="239" bestFit="1" customWidth="1"/>
    <col min="8177" max="8177" width="15.7109375" style="239" customWidth="1"/>
    <col min="8178" max="8178" width="3.7109375" style="239" customWidth="1"/>
    <col min="8179" max="8179" width="10.42578125" style="239" customWidth="1"/>
    <col min="8180" max="8180" width="22.7109375" style="239" customWidth="1"/>
    <col min="8181" max="8181" width="17.28515625" style="239" bestFit="1" customWidth="1"/>
    <col min="8182" max="8182" width="11" style="239" bestFit="1" customWidth="1"/>
    <col min="8183" max="8183" width="19.85546875" style="239" bestFit="1" customWidth="1"/>
    <col min="8184" max="8186" width="9.140625" style="239" customWidth="1"/>
    <col min="8187" max="8187" width="16.7109375" style="239" customWidth="1"/>
    <col min="8188" max="8414" width="9.140625" style="239"/>
    <col min="8415" max="8415" width="11.5703125" style="239" customWidth="1"/>
    <col min="8416" max="8416" width="27.42578125" style="239" customWidth="1"/>
    <col min="8417" max="8417" width="134.28515625" style="239" customWidth="1"/>
    <col min="8418" max="8418" width="11.140625" style="239" customWidth="1"/>
    <col min="8419" max="8419" width="21.42578125" style="239" customWidth="1"/>
    <col min="8420" max="8420" width="19.42578125" style="239" customWidth="1"/>
    <col min="8421" max="8421" width="14.140625" style="239" customWidth="1"/>
    <col min="8422" max="8422" width="12.7109375" style="239" customWidth="1"/>
    <col min="8423" max="8423" width="23.42578125" style="239" customWidth="1"/>
    <col min="8424" max="8424" width="25.85546875" style="239" customWidth="1"/>
    <col min="8425" max="8425" width="23.7109375" style="239" customWidth="1"/>
    <col min="8426" max="8426" width="20.28515625" style="239" customWidth="1"/>
    <col min="8427" max="8427" width="24.140625" style="239" customWidth="1"/>
    <col min="8428" max="8428" width="18.7109375" style="239" bestFit="1" customWidth="1"/>
    <col min="8429" max="8429" width="12.140625" style="239" bestFit="1" customWidth="1"/>
    <col min="8430" max="8430" width="19.85546875" style="239" bestFit="1" customWidth="1"/>
    <col min="8431" max="8431" width="3.7109375" style="239" customWidth="1"/>
    <col min="8432" max="8432" width="20.140625" style="239" bestFit="1" customWidth="1"/>
    <col min="8433" max="8433" width="15.7109375" style="239" customWidth="1"/>
    <col min="8434" max="8434" width="3.7109375" style="239" customWidth="1"/>
    <col min="8435" max="8435" width="10.42578125" style="239" customWidth="1"/>
    <col min="8436" max="8436" width="22.7109375" style="239" customWidth="1"/>
    <col min="8437" max="8437" width="17.28515625" style="239" bestFit="1" customWidth="1"/>
    <col min="8438" max="8438" width="11" style="239" bestFit="1" customWidth="1"/>
    <col min="8439" max="8439" width="19.85546875" style="239" bestFit="1" customWidth="1"/>
    <col min="8440" max="8442" width="9.140625" style="239" customWidth="1"/>
    <col min="8443" max="8443" width="16.7109375" style="239" customWidth="1"/>
    <col min="8444" max="8670" width="9.140625" style="239"/>
    <col min="8671" max="8671" width="11.5703125" style="239" customWidth="1"/>
    <col min="8672" max="8672" width="27.42578125" style="239" customWidth="1"/>
    <col min="8673" max="8673" width="134.28515625" style="239" customWidth="1"/>
    <col min="8674" max="8674" width="11.140625" style="239" customWidth="1"/>
    <col min="8675" max="8675" width="21.42578125" style="239" customWidth="1"/>
    <col min="8676" max="8676" width="19.42578125" style="239" customWidth="1"/>
    <col min="8677" max="8677" width="14.140625" style="239" customWidth="1"/>
    <col min="8678" max="8678" width="12.7109375" style="239" customWidth="1"/>
    <col min="8679" max="8679" width="23.42578125" style="239" customWidth="1"/>
    <col min="8680" max="8680" width="25.85546875" style="239" customWidth="1"/>
    <col min="8681" max="8681" width="23.7109375" style="239" customWidth="1"/>
    <col min="8682" max="8682" width="20.28515625" style="239" customWidth="1"/>
    <col min="8683" max="8683" width="24.140625" style="239" customWidth="1"/>
    <col min="8684" max="8684" width="18.7109375" style="239" bestFit="1" customWidth="1"/>
    <col min="8685" max="8685" width="12.140625" style="239" bestFit="1" customWidth="1"/>
    <col min="8686" max="8686" width="19.85546875" style="239" bestFit="1" customWidth="1"/>
    <col min="8687" max="8687" width="3.7109375" style="239" customWidth="1"/>
    <col min="8688" max="8688" width="20.140625" style="239" bestFit="1" customWidth="1"/>
    <col min="8689" max="8689" width="15.7109375" style="239" customWidth="1"/>
    <col min="8690" max="8690" width="3.7109375" style="239" customWidth="1"/>
    <col min="8691" max="8691" width="10.42578125" style="239" customWidth="1"/>
    <col min="8692" max="8692" width="22.7109375" style="239" customWidth="1"/>
    <col min="8693" max="8693" width="17.28515625" style="239" bestFit="1" customWidth="1"/>
    <col min="8694" max="8694" width="11" style="239" bestFit="1" customWidth="1"/>
    <col min="8695" max="8695" width="19.85546875" style="239" bestFit="1" customWidth="1"/>
    <col min="8696" max="8698" width="9.140625" style="239" customWidth="1"/>
    <col min="8699" max="8699" width="16.7109375" style="239" customWidth="1"/>
    <col min="8700" max="8926" width="9.140625" style="239"/>
    <col min="8927" max="8927" width="11.5703125" style="239" customWidth="1"/>
    <col min="8928" max="8928" width="27.42578125" style="239" customWidth="1"/>
    <col min="8929" max="8929" width="134.28515625" style="239" customWidth="1"/>
    <col min="8930" max="8930" width="11.140625" style="239" customWidth="1"/>
    <col min="8931" max="8931" width="21.42578125" style="239" customWidth="1"/>
    <col min="8932" max="8932" width="19.42578125" style="239" customWidth="1"/>
    <col min="8933" max="8933" width="14.140625" style="239" customWidth="1"/>
    <col min="8934" max="8934" width="12.7109375" style="239" customWidth="1"/>
    <col min="8935" max="8935" width="23.42578125" style="239" customWidth="1"/>
    <col min="8936" max="8936" width="25.85546875" style="239" customWidth="1"/>
    <col min="8937" max="8937" width="23.7109375" style="239" customWidth="1"/>
    <col min="8938" max="8938" width="20.28515625" style="239" customWidth="1"/>
    <col min="8939" max="8939" width="24.140625" style="239" customWidth="1"/>
    <col min="8940" max="8940" width="18.7109375" style="239" bestFit="1" customWidth="1"/>
    <col min="8941" max="8941" width="12.140625" style="239" bestFit="1" customWidth="1"/>
    <col min="8942" max="8942" width="19.85546875" style="239" bestFit="1" customWidth="1"/>
    <col min="8943" max="8943" width="3.7109375" style="239" customWidth="1"/>
    <col min="8944" max="8944" width="20.140625" style="239" bestFit="1" customWidth="1"/>
    <col min="8945" max="8945" width="15.7109375" style="239" customWidth="1"/>
    <col min="8946" max="8946" width="3.7109375" style="239" customWidth="1"/>
    <col min="8947" max="8947" width="10.42578125" style="239" customWidth="1"/>
    <col min="8948" max="8948" width="22.7109375" style="239" customWidth="1"/>
    <col min="8949" max="8949" width="17.28515625" style="239" bestFit="1" customWidth="1"/>
    <col min="8950" max="8950" width="11" style="239" bestFit="1" customWidth="1"/>
    <col min="8951" max="8951" width="19.85546875" style="239" bestFit="1" customWidth="1"/>
    <col min="8952" max="8954" width="9.140625" style="239" customWidth="1"/>
    <col min="8955" max="8955" width="16.7109375" style="239" customWidth="1"/>
    <col min="8956" max="9182" width="9.140625" style="239"/>
    <col min="9183" max="9183" width="11.5703125" style="239" customWidth="1"/>
    <col min="9184" max="9184" width="27.42578125" style="239" customWidth="1"/>
    <col min="9185" max="9185" width="134.28515625" style="239" customWidth="1"/>
    <col min="9186" max="9186" width="11.140625" style="239" customWidth="1"/>
    <col min="9187" max="9187" width="21.42578125" style="239" customWidth="1"/>
    <col min="9188" max="9188" width="19.42578125" style="239" customWidth="1"/>
    <col min="9189" max="9189" width="14.140625" style="239" customWidth="1"/>
    <col min="9190" max="9190" width="12.7109375" style="239" customWidth="1"/>
    <col min="9191" max="9191" width="23.42578125" style="239" customWidth="1"/>
    <col min="9192" max="9192" width="25.85546875" style="239" customWidth="1"/>
    <col min="9193" max="9193" width="23.7109375" style="239" customWidth="1"/>
    <col min="9194" max="9194" width="20.28515625" style="239" customWidth="1"/>
    <col min="9195" max="9195" width="24.140625" style="239" customWidth="1"/>
    <col min="9196" max="9196" width="18.7109375" style="239" bestFit="1" customWidth="1"/>
    <col min="9197" max="9197" width="12.140625" style="239" bestFit="1" customWidth="1"/>
    <col min="9198" max="9198" width="19.85546875" style="239" bestFit="1" customWidth="1"/>
    <col min="9199" max="9199" width="3.7109375" style="239" customWidth="1"/>
    <col min="9200" max="9200" width="20.140625" style="239" bestFit="1" customWidth="1"/>
    <col min="9201" max="9201" width="15.7109375" style="239" customWidth="1"/>
    <col min="9202" max="9202" width="3.7109375" style="239" customWidth="1"/>
    <col min="9203" max="9203" width="10.42578125" style="239" customWidth="1"/>
    <col min="9204" max="9204" width="22.7109375" style="239" customWidth="1"/>
    <col min="9205" max="9205" width="17.28515625" style="239" bestFit="1" customWidth="1"/>
    <col min="9206" max="9206" width="11" style="239" bestFit="1" customWidth="1"/>
    <col min="9207" max="9207" width="19.85546875" style="239" bestFit="1" customWidth="1"/>
    <col min="9208" max="9210" width="9.140625" style="239" customWidth="1"/>
    <col min="9211" max="9211" width="16.7109375" style="239" customWidth="1"/>
    <col min="9212" max="9438" width="9.140625" style="239"/>
    <col min="9439" max="9439" width="11.5703125" style="239" customWidth="1"/>
    <col min="9440" max="9440" width="27.42578125" style="239" customWidth="1"/>
    <col min="9441" max="9441" width="134.28515625" style="239" customWidth="1"/>
    <col min="9442" max="9442" width="11.140625" style="239" customWidth="1"/>
    <col min="9443" max="9443" width="21.42578125" style="239" customWidth="1"/>
    <col min="9444" max="9444" width="19.42578125" style="239" customWidth="1"/>
    <col min="9445" max="9445" width="14.140625" style="239" customWidth="1"/>
    <col min="9446" max="9446" width="12.7109375" style="239" customWidth="1"/>
    <col min="9447" max="9447" width="23.42578125" style="239" customWidth="1"/>
    <col min="9448" max="9448" width="25.85546875" style="239" customWidth="1"/>
    <col min="9449" max="9449" width="23.7109375" style="239" customWidth="1"/>
    <col min="9450" max="9450" width="20.28515625" style="239" customWidth="1"/>
    <col min="9451" max="9451" width="24.140625" style="239" customWidth="1"/>
    <col min="9452" max="9452" width="18.7109375" style="239" bestFit="1" customWidth="1"/>
    <col min="9453" max="9453" width="12.140625" style="239" bestFit="1" customWidth="1"/>
    <col min="9454" max="9454" width="19.85546875" style="239" bestFit="1" customWidth="1"/>
    <col min="9455" max="9455" width="3.7109375" style="239" customWidth="1"/>
    <col min="9456" max="9456" width="20.140625" style="239" bestFit="1" customWidth="1"/>
    <col min="9457" max="9457" width="15.7109375" style="239" customWidth="1"/>
    <col min="9458" max="9458" width="3.7109375" style="239" customWidth="1"/>
    <col min="9459" max="9459" width="10.42578125" style="239" customWidth="1"/>
    <col min="9460" max="9460" width="22.7109375" style="239" customWidth="1"/>
    <col min="9461" max="9461" width="17.28515625" style="239" bestFit="1" customWidth="1"/>
    <col min="9462" max="9462" width="11" style="239" bestFit="1" customWidth="1"/>
    <col min="9463" max="9463" width="19.85546875" style="239" bestFit="1" customWidth="1"/>
    <col min="9464" max="9466" width="9.140625" style="239" customWidth="1"/>
    <col min="9467" max="9467" width="16.7109375" style="239" customWidth="1"/>
    <col min="9468" max="9694" width="9.140625" style="239"/>
    <col min="9695" max="9695" width="11.5703125" style="239" customWidth="1"/>
    <col min="9696" max="9696" width="27.42578125" style="239" customWidth="1"/>
    <col min="9697" max="9697" width="134.28515625" style="239" customWidth="1"/>
    <col min="9698" max="9698" width="11.140625" style="239" customWidth="1"/>
    <col min="9699" max="9699" width="21.42578125" style="239" customWidth="1"/>
    <col min="9700" max="9700" width="19.42578125" style="239" customWidth="1"/>
    <col min="9701" max="9701" width="14.140625" style="239" customWidth="1"/>
    <col min="9702" max="9702" width="12.7109375" style="239" customWidth="1"/>
    <col min="9703" max="9703" width="23.42578125" style="239" customWidth="1"/>
    <col min="9704" max="9704" width="25.85546875" style="239" customWidth="1"/>
    <col min="9705" max="9705" width="23.7109375" style="239" customWidth="1"/>
    <col min="9706" max="9706" width="20.28515625" style="239" customWidth="1"/>
    <col min="9707" max="9707" width="24.140625" style="239" customWidth="1"/>
    <col min="9708" max="9708" width="18.7109375" style="239" bestFit="1" customWidth="1"/>
    <col min="9709" max="9709" width="12.140625" style="239" bestFit="1" customWidth="1"/>
    <col min="9710" max="9710" width="19.85546875" style="239" bestFit="1" customWidth="1"/>
    <col min="9711" max="9711" width="3.7109375" style="239" customWidth="1"/>
    <col min="9712" max="9712" width="20.140625" style="239" bestFit="1" customWidth="1"/>
    <col min="9713" max="9713" width="15.7109375" style="239" customWidth="1"/>
    <col min="9714" max="9714" width="3.7109375" style="239" customWidth="1"/>
    <col min="9715" max="9715" width="10.42578125" style="239" customWidth="1"/>
    <col min="9716" max="9716" width="22.7109375" style="239" customWidth="1"/>
    <col min="9717" max="9717" width="17.28515625" style="239" bestFit="1" customWidth="1"/>
    <col min="9718" max="9718" width="11" style="239" bestFit="1" customWidth="1"/>
    <col min="9719" max="9719" width="19.85546875" style="239" bestFit="1" customWidth="1"/>
    <col min="9720" max="9722" width="9.140625" style="239" customWidth="1"/>
    <col min="9723" max="9723" width="16.7109375" style="239" customWidth="1"/>
    <col min="9724" max="9950" width="9.140625" style="239"/>
    <col min="9951" max="9951" width="11.5703125" style="239" customWidth="1"/>
    <col min="9952" max="9952" width="27.42578125" style="239" customWidth="1"/>
    <col min="9953" max="9953" width="134.28515625" style="239" customWidth="1"/>
    <col min="9954" max="9954" width="11.140625" style="239" customWidth="1"/>
    <col min="9955" max="9955" width="21.42578125" style="239" customWidth="1"/>
    <col min="9956" max="9956" width="19.42578125" style="239" customWidth="1"/>
    <col min="9957" max="9957" width="14.140625" style="239" customWidth="1"/>
    <col min="9958" max="9958" width="12.7109375" style="239" customWidth="1"/>
    <col min="9959" max="9959" width="23.42578125" style="239" customWidth="1"/>
    <col min="9960" max="9960" width="25.85546875" style="239" customWidth="1"/>
    <col min="9961" max="9961" width="23.7109375" style="239" customWidth="1"/>
    <col min="9962" max="9962" width="20.28515625" style="239" customWidth="1"/>
    <col min="9963" max="9963" width="24.140625" style="239" customWidth="1"/>
    <col min="9964" max="9964" width="18.7109375" style="239" bestFit="1" customWidth="1"/>
    <col min="9965" max="9965" width="12.140625" style="239" bestFit="1" customWidth="1"/>
    <col min="9966" max="9966" width="19.85546875" style="239" bestFit="1" customWidth="1"/>
    <col min="9967" max="9967" width="3.7109375" style="239" customWidth="1"/>
    <col min="9968" max="9968" width="20.140625" style="239" bestFit="1" customWidth="1"/>
    <col min="9969" max="9969" width="15.7109375" style="239" customWidth="1"/>
    <col min="9970" max="9970" width="3.7109375" style="239" customWidth="1"/>
    <col min="9971" max="9971" width="10.42578125" style="239" customWidth="1"/>
    <col min="9972" max="9972" width="22.7109375" style="239" customWidth="1"/>
    <col min="9973" max="9973" width="17.28515625" style="239" bestFit="1" customWidth="1"/>
    <col min="9974" max="9974" width="11" style="239" bestFit="1" customWidth="1"/>
    <col min="9975" max="9975" width="19.85546875" style="239" bestFit="1" customWidth="1"/>
    <col min="9976" max="9978" width="9.140625" style="239" customWidth="1"/>
    <col min="9979" max="9979" width="16.7109375" style="239" customWidth="1"/>
    <col min="9980" max="10206" width="9.140625" style="239"/>
    <col min="10207" max="10207" width="11.5703125" style="239" customWidth="1"/>
    <col min="10208" max="10208" width="27.42578125" style="239" customWidth="1"/>
    <col min="10209" max="10209" width="134.28515625" style="239" customWidth="1"/>
    <col min="10210" max="10210" width="11.140625" style="239" customWidth="1"/>
    <col min="10211" max="10211" width="21.42578125" style="239" customWidth="1"/>
    <col min="10212" max="10212" width="19.42578125" style="239" customWidth="1"/>
    <col min="10213" max="10213" width="14.140625" style="239" customWidth="1"/>
    <col min="10214" max="10214" width="12.7109375" style="239" customWidth="1"/>
    <col min="10215" max="10215" width="23.42578125" style="239" customWidth="1"/>
    <col min="10216" max="10216" width="25.85546875" style="239" customWidth="1"/>
    <col min="10217" max="10217" width="23.7109375" style="239" customWidth="1"/>
    <col min="10218" max="10218" width="20.28515625" style="239" customWidth="1"/>
    <col min="10219" max="10219" width="24.140625" style="239" customWidth="1"/>
    <col min="10220" max="10220" width="18.7109375" style="239" bestFit="1" customWidth="1"/>
    <col min="10221" max="10221" width="12.140625" style="239" bestFit="1" customWidth="1"/>
    <col min="10222" max="10222" width="19.85546875" style="239" bestFit="1" customWidth="1"/>
    <col min="10223" max="10223" width="3.7109375" style="239" customWidth="1"/>
    <col min="10224" max="10224" width="20.140625" style="239" bestFit="1" customWidth="1"/>
    <col min="10225" max="10225" width="15.7109375" style="239" customWidth="1"/>
    <col min="10226" max="10226" width="3.7109375" style="239" customWidth="1"/>
    <col min="10227" max="10227" width="10.42578125" style="239" customWidth="1"/>
    <col min="10228" max="10228" width="22.7109375" style="239" customWidth="1"/>
    <col min="10229" max="10229" width="17.28515625" style="239" bestFit="1" customWidth="1"/>
    <col min="10230" max="10230" width="11" style="239" bestFit="1" customWidth="1"/>
    <col min="10231" max="10231" width="19.85546875" style="239" bestFit="1" customWidth="1"/>
    <col min="10232" max="10234" width="9.140625" style="239" customWidth="1"/>
    <col min="10235" max="10235" width="16.7109375" style="239" customWidth="1"/>
    <col min="10236" max="10462" width="9.140625" style="239"/>
    <col min="10463" max="10463" width="11.5703125" style="239" customWidth="1"/>
    <col min="10464" max="10464" width="27.42578125" style="239" customWidth="1"/>
    <col min="10465" max="10465" width="134.28515625" style="239" customWidth="1"/>
    <col min="10466" max="10466" width="11.140625" style="239" customWidth="1"/>
    <col min="10467" max="10467" width="21.42578125" style="239" customWidth="1"/>
    <col min="10468" max="10468" width="19.42578125" style="239" customWidth="1"/>
    <col min="10469" max="10469" width="14.140625" style="239" customWidth="1"/>
    <col min="10470" max="10470" width="12.7109375" style="239" customWidth="1"/>
    <col min="10471" max="10471" width="23.42578125" style="239" customWidth="1"/>
    <col min="10472" max="10472" width="25.85546875" style="239" customWidth="1"/>
    <col min="10473" max="10473" width="23.7109375" style="239" customWidth="1"/>
    <col min="10474" max="10474" width="20.28515625" style="239" customWidth="1"/>
    <col min="10475" max="10475" width="24.140625" style="239" customWidth="1"/>
    <col min="10476" max="10476" width="18.7109375" style="239" bestFit="1" customWidth="1"/>
    <col min="10477" max="10477" width="12.140625" style="239" bestFit="1" customWidth="1"/>
    <col min="10478" max="10478" width="19.85546875" style="239" bestFit="1" customWidth="1"/>
    <col min="10479" max="10479" width="3.7109375" style="239" customWidth="1"/>
    <col min="10480" max="10480" width="20.140625" style="239" bestFit="1" customWidth="1"/>
    <col min="10481" max="10481" width="15.7109375" style="239" customWidth="1"/>
    <col min="10482" max="10482" width="3.7109375" style="239" customWidth="1"/>
    <col min="10483" max="10483" width="10.42578125" style="239" customWidth="1"/>
    <col min="10484" max="10484" width="22.7109375" style="239" customWidth="1"/>
    <col min="10485" max="10485" width="17.28515625" style="239" bestFit="1" customWidth="1"/>
    <col min="10486" max="10486" width="11" style="239" bestFit="1" customWidth="1"/>
    <col min="10487" max="10487" width="19.85546875" style="239" bestFit="1" customWidth="1"/>
    <col min="10488" max="10490" width="9.140625" style="239" customWidth="1"/>
    <col min="10491" max="10491" width="16.7109375" style="239" customWidth="1"/>
    <col min="10492" max="10718" width="9.140625" style="239"/>
    <col min="10719" max="10719" width="11.5703125" style="239" customWidth="1"/>
    <col min="10720" max="10720" width="27.42578125" style="239" customWidth="1"/>
    <col min="10721" max="10721" width="134.28515625" style="239" customWidth="1"/>
    <col min="10722" max="10722" width="11.140625" style="239" customWidth="1"/>
    <col min="10723" max="10723" width="21.42578125" style="239" customWidth="1"/>
    <col min="10724" max="10724" width="19.42578125" style="239" customWidth="1"/>
    <col min="10725" max="10725" width="14.140625" style="239" customWidth="1"/>
    <col min="10726" max="10726" width="12.7109375" style="239" customWidth="1"/>
    <col min="10727" max="10727" width="23.42578125" style="239" customWidth="1"/>
    <col min="10728" max="10728" width="25.85546875" style="239" customWidth="1"/>
    <col min="10729" max="10729" width="23.7109375" style="239" customWidth="1"/>
    <col min="10730" max="10730" width="20.28515625" style="239" customWidth="1"/>
    <col min="10731" max="10731" width="24.140625" style="239" customWidth="1"/>
    <col min="10732" max="10732" width="18.7109375" style="239" bestFit="1" customWidth="1"/>
    <col min="10733" max="10733" width="12.140625" style="239" bestFit="1" customWidth="1"/>
    <col min="10734" max="10734" width="19.85546875" style="239" bestFit="1" customWidth="1"/>
    <col min="10735" max="10735" width="3.7109375" style="239" customWidth="1"/>
    <col min="10736" max="10736" width="20.140625" style="239" bestFit="1" customWidth="1"/>
    <col min="10737" max="10737" width="15.7109375" style="239" customWidth="1"/>
    <col min="10738" max="10738" width="3.7109375" style="239" customWidth="1"/>
    <col min="10739" max="10739" width="10.42578125" style="239" customWidth="1"/>
    <col min="10740" max="10740" width="22.7109375" style="239" customWidth="1"/>
    <col min="10741" max="10741" width="17.28515625" style="239" bestFit="1" customWidth="1"/>
    <col min="10742" max="10742" width="11" style="239" bestFit="1" customWidth="1"/>
    <col min="10743" max="10743" width="19.85546875" style="239" bestFit="1" customWidth="1"/>
    <col min="10744" max="10746" width="9.140625" style="239" customWidth="1"/>
    <col min="10747" max="10747" width="16.7109375" style="239" customWidth="1"/>
    <col min="10748" max="10974" width="9.140625" style="239"/>
    <col min="10975" max="10975" width="11.5703125" style="239" customWidth="1"/>
    <col min="10976" max="10976" width="27.42578125" style="239" customWidth="1"/>
    <col min="10977" max="10977" width="134.28515625" style="239" customWidth="1"/>
    <col min="10978" max="10978" width="11.140625" style="239" customWidth="1"/>
    <col min="10979" max="10979" width="21.42578125" style="239" customWidth="1"/>
    <col min="10980" max="10980" width="19.42578125" style="239" customWidth="1"/>
    <col min="10981" max="10981" width="14.140625" style="239" customWidth="1"/>
    <col min="10982" max="10982" width="12.7109375" style="239" customWidth="1"/>
    <col min="10983" max="10983" width="23.42578125" style="239" customWidth="1"/>
    <col min="10984" max="10984" width="25.85546875" style="239" customWidth="1"/>
    <col min="10985" max="10985" width="23.7109375" style="239" customWidth="1"/>
    <col min="10986" max="10986" width="20.28515625" style="239" customWidth="1"/>
    <col min="10987" max="10987" width="24.140625" style="239" customWidth="1"/>
    <col min="10988" max="10988" width="18.7109375" style="239" bestFit="1" customWidth="1"/>
    <col min="10989" max="10989" width="12.140625" style="239" bestFit="1" customWidth="1"/>
    <col min="10990" max="10990" width="19.85546875" style="239" bestFit="1" customWidth="1"/>
    <col min="10991" max="10991" width="3.7109375" style="239" customWidth="1"/>
    <col min="10992" max="10992" width="20.140625" style="239" bestFit="1" customWidth="1"/>
    <col min="10993" max="10993" width="15.7109375" style="239" customWidth="1"/>
    <col min="10994" max="10994" width="3.7109375" style="239" customWidth="1"/>
    <col min="10995" max="10995" width="10.42578125" style="239" customWidth="1"/>
    <col min="10996" max="10996" width="22.7109375" style="239" customWidth="1"/>
    <col min="10997" max="10997" width="17.28515625" style="239" bestFit="1" customWidth="1"/>
    <col min="10998" max="10998" width="11" style="239" bestFit="1" customWidth="1"/>
    <col min="10999" max="10999" width="19.85546875" style="239" bestFit="1" customWidth="1"/>
    <col min="11000" max="11002" width="9.140625" style="239" customWidth="1"/>
    <col min="11003" max="11003" width="16.7109375" style="239" customWidth="1"/>
    <col min="11004" max="11230" width="9.140625" style="239"/>
    <col min="11231" max="11231" width="11.5703125" style="239" customWidth="1"/>
    <col min="11232" max="11232" width="27.42578125" style="239" customWidth="1"/>
    <col min="11233" max="11233" width="134.28515625" style="239" customWidth="1"/>
    <col min="11234" max="11234" width="11.140625" style="239" customWidth="1"/>
    <col min="11235" max="11235" width="21.42578125" style="239" customWidth="1"/>
    <col min="11236" max="11236" width="19.42578125" style="239" customWidth="1"/>
    <col min="11237" max="11237" width="14.140625" style="239" customWidth="1"/>
    <col min="11238" max="11238" width="12.7109375" style="239" customWidth="1"/>
    <col min="11239" max="11239" width="23.42578125" style="239" customWidth="1"/>
    <col min="11240" max="11240" width="25.85546875" style="239" customWidth="1"/>
    <col min="11241" max="11241" width="23.7109375" style="239" customWidth="1"/>
    <col min="11242" max="11242" width="20.28515625" style="239" customWidth="1"/>
    <col min="11243" max="11243" width="24.140625" style="239" customWidth="1"/>
    <col min="11244" max="11244" width="18.7109375" style="239" bestFit="1" customWidth="1"/>
    <col min="11245" max="11245" width="12.140625" style="239" bestFit="1" customWidth="1"/>
    <col min="11246" max="11246" width="19.85546875" style="239" bestFit="1" customWidth="1"/>
    <col min="11247" max="11247" width="3.7109375" style="239" customWidth="1"/>
    <col min="11248" max="11248" width="20.140625" style="239" bestFit="1" customWidth="1"/>
    <col min="11249" max="11249" width="15.7109375" style="239" customWidth="1"/>
    <col min="11250" max="11250" width="3.7109375" style="239" customWidth="1"/>
    <col min="11251" max="11251" width="10.42578125" style="239" customWidth="1"/>
    <col min="11252" max="11252" width="22.7109375" style="239" customWidth="1"/>
    <col min="11253" max="11253" width="17.28515625" style="239" bestFit="1" customWidth="1"/>
    <col min="11254" max="11254" width="11" style="239" bestFit="1" customWidth="1"/>
    <col min="11255" max="11255" width="19.85546875" style="239" bestFit="1" customWidth="1"/>
    <col min="11256" max="11258" width="9.140625" style="239" customWidth="1"/>
    <col min="11259" max="11259" width="16.7109375" style="239" customWidth="1"/>
    <col min="11260" max="11486" width="9.140625" style="239"/>
    <col min="11487" max="11487" width="11.5703125" style="239" customWidth="1"/>
    <col min="11488" max="11488" width="27.42578125" style="239" customWidth="1"/>
    <col min="11489" max="11489" width="134.28515625" style="239" customWidth="1"/>
    <col min="11490" max="11490" width="11.140625" style="239" customWidth="1"/>
    <col min="11491" max="11491" width="21.42578125" style="239" customWidth="1"/>
    <col min="11492" max="11492" width="19.42578125" style="239" customWidth="1"/>
    <col min="11493" max="11493" width="14.140625" style="239" customWidth="1"/>
    <col min="11494" max="11494" width="12.7109375" style="239" customWidth="1"/>
    <col min="11495" max="11495" width="23.42578125" style="239" customWidth="1"/>
    <col min="11496" max="11496" width="25.85546875" style="239" customWidth="1"/>
    <col min="11497" max="11497" width="23.7109375" style="239" customWidth="1"/>
    <col min="11498" max="11498" width="20.28515625" style="239" customWidth="1"/>
    <col min="11499" max="11499" width="24.140625" style="239" customWidth="1"/>
    <col min="11500" max="11500" width="18.7109375" style="239" bestFit="1" customWidth="1"/>
    <col min="11501" max="11501" width="12.140625" style="239" bestFit="1" customWidth="1"/>
    <col min="11502" max="11502" width="19.85546875" style="239" bestFit="1" customWidth="1"/>
    <col min="11503" max="11503" width="3.7109375" style="239" customWidth="1"/>
    <col min="11504" max="11504" width="20.140625" style="239" bestFit="1" customWidth="1"/>
    <col min="11505" max="11505" width="15.7109375" style="239" customWidth="1"/>
    <col min="11506" max="11506" width="3.7109375" style="239" customWidth="1"/>
    <col min="11507" max="11507" width="10.42578125" style="239" customWidth="1"/>
    <col min="11508" max="11508" width="22.7109375" style="239" customWidth="1"/>
    <col min="11509" max="11509" width="17.28515625" style="239" bestFit="1" customWidth="1"/>
    <col min="11510" max="11510" width="11" style="239" bestFit="1" customWidth="1"/>
    <col min="11511" max="11511" width="19.85546875" style="239" bestFit="1" customWidth="1"/>
    <col min="11512" max="11514" width="9.140625" style="239" customWidth="1"/>
    <col min="11515" max="11515" width="16.7109375" style="239" customWidth="1"/>
    <col min="11516" max="11742" width="9.140625" style="239"/>
    <col min="11743" max="11743" width="11.5703125" style="239" customWidth="1"/>
    <col min="11744" max="11744" width="27.42578125" style="239" customWidth="1"/>
    <col min="11745" max="11745" width="134.28515625" style="239" customWidth="1"/>
    <col min="11746" max="11746" width="11.140625" style="239" customWidth="1"/>
    <col min="11747" max="11747" width="21.42578125" style="239" customWidth="1"/>
    <col min="11748" max="11748" width="19.42578125" style="239" customWidth="1"/>
    <col min="11749" max="11749" width="14.140625" style="239" customWidth="1"/>
    <col min="11750" max="11750" width="12.7109375" style="239" customWidth="1"/>
    <col min="11751" max="11751" width="23.42578125" style="239" customWidth="1"/>
    <col min="11752" max="11752" width="25.85546875" style="239" customWidth="1"/>
    <col min="11753" max="11753" width="23.7109375" style="239" customWidth="1"/>
    <col min="11754" max="11754" width="20.28515625" style="239" customWidth="1"/>
    <col min="11755" max="11755" width="24.140625" style="239" customWidth="1"/>
    <col min="11756" max="11756" width="18.7109375" style="239" bestFit="1" customWidth="1"/>
    <col min="11757" max="11757" width="12.140625" style="239" bestFit="1" customWidth="1"/>
    <col min="11758" max="11758" width="19.85546875" style="239" bestFit="1" customWidth="1"/>
    <col min="11759" max="11759" width="3.7109375" style="239" customWidth="1"/>
    <col min="11760" max="11760" width="20.140625" style="239" bestFit="1" customWidth="1"/>
    <col min="11761" max="11761" width="15.7109375" style="239" customWidth="1"/>
    <col min="11762" max="11762" width="3.7109375" style="239" customWidth="1"/>
    <col min="11763" max="11763" width="10.42578125" style="239" customWidth="1"/>
    <col min="11764" max="11764" width="22.7109375" style="239" customWidth="1"/>
    <col min="11765" max="11765" width="17.28515625" style="239" bestFit="1" customWidth="1"/>
    <col min="11766" max="11766" width="11" style="239" bestFit="1" customWidth="1"/>
    <col min="11767" max="11767" width="19.85546875" style="239" bestFit="1" customWidth="1"/>
    <col min="11768" max="11770" width="9.140625" style="239" customWidth="1"/>
    <col min="11771" max="11771" width="16.7109375" style="239" customWidth="1"/>
    <col min="11772" max="11998" width="9.140625" style="239"/>
    <col min="11999" max="11999" width="11.5703125" style="239" customWidth="1"/>
    <col min="12000" max="12000" width="27.42578125" style="239" customWidth="1"/>
    <col min="12001" max="12001" width="134.28515625" style="239" customWidth="1"/>
    <col min="12002" max="12002" width="11.140625" style="239" customWidth="1"/>
    <col min="12003" max="12003" width="21.42578125" style="239" customWidth="1"/>
    <col min="12004" max="12004" width="19.42578125" style="239" customWidth="1"/>
    <col min="12005" max="12005" width="14.140625" style="239" customWidth="1"/>
    <col min="12006" max="12006" width="12.7109375" style="239" customWidth="1"/>
    <col min="12007" max="12007" width="23.42578125" style="239" customWidth="1"/>
    <col min="12008" max="12008" width="25.85546875" style="239" customWidth="1"/>
    <col min="12009" max="12009" width="23.7109375" style="239" customWidth="1"/>
    <col min="12010" max="12010" width="20.28515625" style="239" customWidth="1"/>
    <col min="12011" max="12011" width="24.140625" style="239" customWidth="1"/>
    <col min="12012" max="12012" width="18.7109375" style="239" bestFit="1" customWidth="1"/>
    <col min="12013" max="12013" width="12.140625" style="239" bestFit="1" customWidth="1"/>
    <col min="12014" max="12014" width="19.85546875" style="239" bestFit="1" customWidth="1"/>
    <col min="12015" max="12015" width="3.7109375" style="239" customWidth="1"/>
    <col min="12016" max="12016" width="20.140625" style="239" bestFit="1" customWidth="1"/>
    <col min="12017" max="12017" width="15.7109375" style="239" customWidth="1"/>
    <col min="12018" max="12018" width="3.7109375" style="239" customWidth="1"/>
    <col min="12019" max="12019" width="10.42578125" style="239" customWidth="1"/>
    <col min="12020" max="12020" width="22.7109375" style="239" customWidth="1"/>
    <col min="12021" max="12021" width="17.28515625" style="239" bestFit="1" customWidth="1"/>
    <col min="12022" max="12022" width="11" style="239" bestFit="1" customWidth="1"/>
    <col min="12023" max="12023" width="19.85546875" style="239" bestFit="1" customWidth="1"/>
    <col min="12024" max="12026" width="9.140625" style="239" customWidth="1"/>
    <col min="12027" max="12027" width="16.7109375" style="239" customWidth="1"/>
    <col min="12028" max="12254" width="9.140625" style="239"/>
    <col min="12255" max="12255" width="11.5703125" style="239" customWidth="1"/>
    <col min="12256" max="12256" width="27.42578125" style="239" customWidth="1"/>
    <col min="12257" max="12257" width="134.28515625" style="239" customWidth="1"/>
    <col min="12258" max="12258" width="11.140625" style="239" customWidth="1"/>
    <col min="12259" max="12259" width="21.42578125" style="239" customWidth="1"/>
    <col min="12260" max="12260" width="19.42578125" style="239" customWidth="1"/>
    <col min="12261" max="12261" width="14.140625" style="239" customWidth="1"/>
    <col min="12262" max="12262" width="12.7109375" style="239" customWidth="1"/>
    <col min="12263" max="12263" width="23.42578125" style="239" customWidth="1"/>
    <col min="12264" max="12264" width="25.85546875" style="239" customWidth="1"/>
    <col min="12265" max="12265" width="23.7109375" style="239" customWidth="1"/>
    <col min="12266" max="12266" width="20.28515625" style="239" customWidth="1"/>
    <col min="12267" max="12267" width="24.140625" style="239" customWidth="1"/>
    <col min="12268" max="12268" width="18.7109375" style="239" bestFit="1" customWidth="1"/>
    <col min="12269" max="12269" width="12.140625" style="239" bestFit="1" customWidth="1"/>
    <col min="12270" max="12270" width="19.85546875" style="239" bestFit="1" customWidth="1"/>
    <col min="12271" max="12271" width="3.7109375" style="239" customWidth="1"/>
    <col min="12272" max="12272" width="20.140625" style="239" bestFit="1" customWidth="1"/>
    <col min="12273" max="12273" width="15.7109375" style="239" customWidth="1"/>
    <col min="12274" max="12274" width="3.7109375" style="239" customWidth="1"/>
    <col min="12275" max="12275" width="10.42578125" style="239" customWidth="1"/>
    <col min="12276" max="12276" width="22.7109375" style="239" customWidth="1"/>
    <col min="12277" max="12277" width="17.28515625" style="239" bestFit="1" customWidth="1"/>
    <col min="12278" max="12278" width="11" style="239" bestFit="1" customWidth="1"/>
    <col min="12279" max="12279" width="19.85546875" style="239" bestFit="1" customWidth="1"/>
    <col min="12280" max="12282" width="9.140625" style="239" customWidth="1"/>
    <col min="12283" max="12283" width="16.7109375" style="239" customWidth="1"/>
    <col min="12284" max="12510" width="9.140625" style="239"/>
    <col min="12511" max="12511" width="11.5703125" style="239" customWidth="1"/>
    <col min="12512" max="12512" width="27.42578125" style="239" customWidth="1"/>
    <col min="12513" max="12513" width="134.28515625" style="239" customWidth="1"/>
    <col min="12514" max="12514" width="11.140625" style="239" customWidth="1"/>
    <col min="12515" max="12515" width="21.42578125" style="239" customWidth="1"/>
    <col min="12516" max="12516" width="19.42578125" style="239" customWidth="1"/>
    <col min="12517" max="12517" width="14.140625" style="239" customWidth="1"/>
    <col min="12518" max="12518" width="12.7109375" style="239" customWidth="1"/>
    <col min="12519" max="12519" width="23.42578125" style="239" customWidth="1"/>
    <col min="12520" max="12520" width="25.85546875" style="239" customWidth="1"/>
    <col min="12521" max="12521" width="23.7109375" style="239" customWidth="1"/>
    <col min="12522" max="12522" width="20.28515625" style="239" customWidth="1"/>
    <col min="12523" max="12523" width="24.140625" style="239" customWidth="1"/>
    <col min="12524" max="12524" width="18.7109375" style="239" bestFit="1" customWidth="1"/>
    <col min="12525" max="12525" width="12.140625" style="239" bestFit="1" customWidth="1"/>
    <col min="12526" max="12526" width="19.85546875" style="239" bestFit="1" customWidth="1"/>
    <col min="12527" max="12527" width="3.7109375" style="239" customWidth="1"/>
    <col min="12528" max="12528" width="20.140625" style="239" bestFit="1" customWidth="1"/>
    <col min="12529" max="12529" width="15.7109375" style="239" customWidth="1"/>
    <col min="12530" max="12530" width="3.7109375" style="239" customWidth="1"/>
    <col min="12531" max="12531" width="10.42578125" style="239" customWidth="1"/>
    <col min="12532" max="12532" width="22.7109375" style="239" customWidth="1"/>
    <col min="12533" max="12533" width="17.28515625" style="239" bestFit="1" customWidth="1"/>
    <col min="12534" max="12534" width="11" style="239" bestFit="1" customWidth="1"/>
    <col min="12535" max="12535" width="19.85546875" style="239" bestFit="1" customWidth="1"/>
    <col min="12536" max="12538" width="9.140625" style="239" customWidth="1"/>
    <col min="12539" max="12539" width="16.7109375" style="239" customWidth="1"/>
    <col min="12540" max="12766" width="9.140625" style="239"/>
    <col min="12767" max="12767" width="11.5703125" style="239" customWidth="1"/>
    <col min="12768" max="12768" width="27.42578125" style="239" customWidth="1"/>
    <col min="12769" max="12769" width="134.28515625" style="239" customWidth="1"/>
    <col min="12770" max="12770" width="11.140625" style="239" customWidth="1"/>
    <col min="12771" max="12771" width="21.42578125" style="239" customWidth="1"/>
    <col min="12772" max="12772" width="19.42578125" style="239" customWidth="1"/>
    <col min="12773" max="12773" width="14.140625" style="239" customWidth="1"/>
    <col min="12774" max="12774" width="12.7109375" style="239" customWidth="1"/>
    <col min="12775" max="12775" width="23.42578125" style="239" customWidth="1"/>
    <col min="12776" max="12776" width="25.85546875" style="239" customWidth="1"/>
    <col min="12777" max="12777" width="23.7109375" style="239" customWidth="1"/>
    <col min="12778" max="12778" width="20.28515625" style="239" customWidth="1"/>
    <col min="12779" max="12779" width="24.140625" style="239" customWidth="1"/>
    <col min="12780" max="12780" width="18.7109375" style="239" bestFit="1" customWidth="1"/>
    <col min="12781" max="12781" width="12.140625" style="239" bestFit="1" customWidth="1"/>
    <col min="12782" max="12782" width="19.85546875" style="239" bestFit="1" customWidth="1"/>
    <col min="12783" max="12783" width="3.7109375" style="239" customWidth="1"/>
    <col min="12784" max="12784" width="20.140625" style="239" bestFit="1" customWidth="1"/>
    <col min="12785" max="12785" width="15.7109375" style="239" customWidth="1"/>
    <col min="12786" max="12786" width="3.7109375" style="239" customWidth="1"/>
    <col min="12787" max="12787" width="10.42578125" style="239" customWidth="1"/>
    <col min="12788" max="12788" width="22.7109375" style="239" customWidth="1"/>
    <col min="12789" max="12789" width="17.28515625" style="239" bestFit="1" customWidth="1"/>
    <col min="12790" max="12790" width="11" style="239" bestFit="1" customWidth="1"/>
    <col min="12791" max="12791" width="19.85546875" style="239" bestFit="1" customWidth="1"/>
    <col min="12792" max="12794" width="9.140625" style="239" customWidth="1"/>
    <col min="12795" max="12795" width="16.7109375" style="239" customWidth="1"/>
    <col min="12796" max="13022" width="9.140625" style="239"/>
    <col min="13023" max="13023" width="11.5703125" style="239" customWidth="1"/>
    <col min="13024" max="13024" width="27.42578125" style="239" customWidth="1"/>
    <col min="13025" max="13025" width="134.28515625" style="239" customWidth="1"/>
    <col min="13026" max="13026" width="11.140625" style="239" customWidth="1"/>
    <col min="13027" max="13027" width="21.42578125" style="239" customWidth="1"/>
    <col min="13028" max="13028" width="19.42578125" style="239" customWidth="1"/>
    <col min="13029" max="13029" width="14.140625" style="239" customWidth="1"/>
    <col min="13030" max="13030" width="12.7109375" style="239" customWidth="1"/>
    <col min="13031" max="13031" width="23.42578125" style="239" customWidth="1"/>
    <col min="13032" max="13032" width="25.85546875" style="239" customWidth="1"/>
    <col min="13033" max="13033" width="23.7109375" style="239" customWidth="1"/>
    <col min="13034" max="13034" width="20.28515625" style="239" customWidth="1"/>
    <col min="13035" max="13035" width="24.140625" style="239" customWidth="1"/>
    <col min="13036" max="13036" width="18.7109375" style="239" bestFit="1" customWidth="1"/>
    <col min="13037" max="13037" width="12.140625" style="239" bestFit="1" customWidth="1"/>
    <col min="13038" max="13038" width="19.85546875" style="239" bestFit="1" customWidth="1"/>
    <col min="13039" max="13039" width="3.7109375" style="239" customWidth="1"/>
    <col min="13040" max="13040" width="20.140625" style="239" bestFit="1" customWidth="1"/>
    <col min="13041" max="13041" width="15.7109375" style="239" customWidth="1"/>
    <col min="13042" max="13042" width="3.7109375" style="239" customWidth="1"/>
    <col min="13043" max="13043" width="10.42578125" style="239" customWidth="1"/>
    <col min="13044" max="13044" width="22.7109375" style="239" customWidth="1"/>
    <col min="13045" max="13045" width="17.28515625" style="239" bestFit="1" customWidth="1"/>
    <col min="13046" max="13046" width="11" style="239" bestFit="1" customWidth="1"/>
    <col min="13047" max="13047" width="19.85546875" style="239" bestFit="1" customWidth="1"/>
    <col min="13048" max="13050" width="9.140625" style="239" customWidth="1"/>
    <col min="13051" max="13051" width="16.7109375" style="239" customWidth="1"/>
    <col min="13052" max="13278" width="9.140625" style="239"/>
    <col min="13279" max="13279" width="11.5703125" style="239" customWidth="1"/>
    <col min="13280" max="13280" width="27.42578125" style="239" customWidth="1"/>
    <col min="13281" max="13281" width="134.28515625" style="239" customWidth="1"/>
    <col min="13282" max="13282" width="11.140625" style="239" customWidth="1"/>
    <col min="13283" max="13283" width="21.42578125" style="239" customWidth="1"/>
    <col min="13284" max="13284" width="19.42578125" style="239" customWidth="1"/>
    <col min="13285" max="13285" width="14.140625" style="239" customWidth="1"/>
    <col min="13286" max="13286" width="12.7109375" style="239" customWidth="1"/>
    <col min="13287" max="13287" width="23.42578125" style="239" customWidth="1"/>
    <col min="13288" max="13288" width="25.85546875" style="239" customWidth="1"/>
    <col min="13289" max="13289" width="23.7109375" style="239" customWidth="1"/>
    <col min="13290" max="13290" width="20.28515625" style="239" customWidth="1"/>
    <col min="13291" max="13291" width="24.140625" style="239" customWidth="1"/>
    <col min="13292" max="13292" width="18.7109375" style="239" bestFit="1" customWidth="1"/>
    <col min="13293" max="13293" width="12.140625" style="239" bestFit="1" customWidth="1"/>
    <col min="13294" max="13294" width="19.85546875" style="239" bestFit="1" customWidth="1"/>
    <col min="13295" max="13295" width="3.7109375" style="239" customWidth="1"/>
    <col min="13296" max="13296" width="20.140625" style="239" bestFit="1" customWidth="1"/>
    <col min="13297" max="13297" width="15.7109375" style="239" customWidth="1"/>
    <col min="13298" max="13298" width="3.7109375" style="239" customWidth="1"/>
    <col min="13299" max="13299" width="10.42578125" style="239" customWidth="1"/>
    <col min="13300" max="13300" width="22.7109375" style="239" customWidth="1"/>
    <col min="13301" max="13301" width="17.28515625" style="239" bestFit="1" customWidth="1"/>
    <col min="13302" max="13302" width="11" style="239" bestFit="1" customWidth="1"/>
    <col min="13303" max="13303" width="19.85546875" style="239" bestFit="1" customWidth="1"/>
    <col min="13304" max="13306" width="9.140625" style="239" customWidth="1"/>
    <col min="13307" max="13307" width="16.7109375" style="239" customWidth="1"/>
    <col min="13308" max="13534" width="9.140625" style="239"/>
    <col min="13535" max="13535" width="11.5703125" style="239" customWidth="1"/>
    <col min="13536" max="13536" width="27.42578125" style="239" customWidth="1"/>
    <col min="13537" max="13537" width="134.28515625" style="239" customWidth="1"/>
    <col min="13538" max="13538" width="11.140625" style="239" customWidth="1"/>
    <col min="13539" max="13539" width="21.42578125" style="239" customWidth="1"/>
    <col min="13540" max="13540" width="19.42578125" style="239" customWidth="1"/>
    <col min="13541" max="13541" width="14.140625" style="239" customWidth="1"/>
    <col min="13542" max="13542" width="12.7109375" style="239" customWidth="1"/>
    <col min="13543" max="13543" width="23.42578125" style="239" customWidth="1"/>
    <col min="13544" max="13544" width="25.85546875" style="239" customWidth="1"/>
    <col min="13545" max="13545" width="23.7109375" style="239" customWidth="1"/>
    <col min="13546" max="13546" width="20.28515625" style="239" customWidth="1"/>
    <col min="13547" max="13547" width="24.140625" style="239" customWidth="1"/>
    <col min="13548" max="13548" width="18.7109375" style="239" bestFit="1" customWidth="1"/>
    <col min="13549" max="13549" width="12.140625" style="239" bestFit="1" customWidth="1"/>
    <col min="13550" max="13550" width="19.85546875" style="239" bestFit="1" customWidth="1"/>
    <col min="13551" max="13551" width="3.7109375" style="239" customWidth="1"/>
    <col min="13552" max="13552" width="20.140625" style="239" bestFit="1" customWidth="1"/>
    <col min="13553" max="13553" width="15.7109375" style="239" customWidth="1"/>
    <col min="13554" max="13554" width="3.7109375" style="239" customWidth="1"/>
    <col min="13555" max="13555" width="10.42578125" style="239" customWidth="1"/>
    <col min="13556" max="13556" width="22.7109375" style="239" customWidth="1"/>
    <col min="13557" max="13557" width="17.28515625" style="239" bestFit="1" customWidth="1"/>
    <col min="13558" max="13558" width="11" style="239" bestFit="1" customWidth="1"/>
    <col min="13559" max="13559" width="19.85546875" style="239" bestFit="1" customWidth="1"/>
    <col min="13560" max="13562" width="9.140625" style="239" customWidth="1"/>
    <col min="13563" max="13563" width="16.7109375" style="239" customWidth="1"/>
    <col min="13564" max="13790" width="9.140625" style="239"/>
    <col min="13791" max="13791" width="11.5703125" style="239" customWidth="1"/>
    <col min="13792" max="13792" width="27.42578125" style="239" customWidth="1"/>
    <col min="13793" max="13793" width="134.28515625" style="239" customWidth="1"/>
    <col min="13794" max="13794" width="11.140625" style="239" customWidth="1"/>
    <col min="13795" max="13795" width="21.42578125" style="239" customWidth="1"/>
    <col min="13796" max="13796" width="19.42578125" style="239" customWidth="1"/>
    <col min="13797" max="13797" width="14.140625" style="239" customWidth="1"/>
    <col min="13798" max="13798" width="12.7109375" style="239" customWidth="1"/>
    <col min="13799" max="13799" width="23.42578125" style="239" customWidth="1"/>
    <col min="13800" max="13800" width="25.85546875" style="239" customWidth="1"/>
    <col min="13801" max="13801" width="23.7109375" style="239" customWidth="1"/>
    <col min="13802" max="13802" width="20.28515625" style="239" customWidth="1"/>
    <col min="13803" max="13803" width="24.140625" style="239" customWidth="1"/>
    <col min="13804" max="13804" width="18.7109375" style="239" bestFit="1" customWidth="1"/>
    <col min="13805" max="13805" width="12.140625" style="239" bestFit="1" customWidth="1"/>
    <col min="13806" max="13806" width="19.85546875" style="239" bestFit="1" customWidth="1"/>
    <col min="13807" max="13807" width="3.7109375" style="239" customWidth="1"/>
    <col min="13808" max="13808" width="20.140625" style="239" bestFit="1" customWidth="1"/>
    <col min="13809" max="13809" width="15.7109375" style="239" customWidth="1"/>
    <col min="13810" max="13810" width="3.7109375" style="239" customWidth="1"/>
    <col min="13811" max="13811" width="10.42578125" style="239" customWidth="1"/>
    <col min="13812" max="13812" width="22.7109375" style="239" customWidth="1"/>
    <col min="13813" max="13813" width="17.28515625" style="239" bestFit="1" customWidth="1"/>
    <col min="13814" max="13814" width="11" style="239" bestFit="1" customWidth="1"/>
    <col min="13815" max="13815" width="19.85546875" style="239" bestFit="1" customWidth="1"/>
    <col min="13816" max="13818" width="9.140625" style="239" customWidth="1"/>
    <col min="13819" max="13819" width="16.7109375" style="239" customWidth="1"/>
    <col min="13820" max="14046" width="9.140625" style="239"/>
    <col min="14047" max="14047" width="11.5703125" style="239" customWidth="1"/>
    <col min="14048" max="14048" width="27.42578125" style="239" customWidth="1"/>
    <col min="14049" max="14049" width="134.28515625" style="239" customWidth="1"/>
    <col min="14050" max="14050" width="11.140625" style="239" customWidth="1"/>
    <col min="14051" max="14051" width="21.42578125" style="239" customWidth="1"/>
    <col min="14052" max="14052" width="19.42578125" style="239" customWidth="1"/>
    <col min="14053" max="14053" width="14.140625" style="239" customWidth="1"/>
    <col min="14054" max="14054" width="12.7109375" style="239" customWidth="1"/>
    <col min="14055" max="14055" width="23.42578125" style="239" customWidth="1"/>
    <col min="14056" max="14056" width="25.85546875" style="239" customWidth="1"/>
    <col min="14057" max="14057" width="23.7109375" style="239" customWidth="1"/>
    <col min="14058" max="14058" width="20.28515625" style="239" customWidth="1"/>
    <col min="14059" max="14059" width="24.140625" style="239" customWidth="1"/>
    <col min="14060" max="14060" width="18.7109375" style="239" bestFit="1" customWidth="1"/>
    <col min="14061" max="14061" width="12.140625" style="239" bestFit="1" customWidth="1"/>
    <col min="14062" max="14062" width="19.85546875" style="239" bestFit="1" customWidth="1"/>
    <col min="14063" max="14063" width="3.7109375" style="239" customWidth="1"/>
    <col min="14064" max="14064" width="20.140625" style="239" bestFit="1" customWidth="1"/>
    <col min="14065" max="14065" width="15.7109375" style="239" customWidth="1"/>
    <col min="14066" max="14066" width="3.7109375" style="239" customWidth="1"/>
    <col min="14067" max="14067" width="10.42578125" style="239" customWidth="1"/>
    <col min="14068" max="14068" width="22.7109375" style="239" customWidth="1"/>
    <col min="14069" max="14069" width="17.28515625" style="239" bestFit="1" customWidth="1"/>
    <col min="14070" max="14070" width="11" style="239" bestFit="1" customWidth="1"/>
    <col min="14071" max="14071" width="19.85546875" style="239" bestFit="1" customWidth="1"/>
    <col min="14072" max="14074" width="9.140625" style="239" customWidth="1"/>
    <col min="14075" max="14075" width="16.7109375" style="239" customWidth="1"/>
    <col min="14076" max="14302" width="9.140625" style="239"/>
    <col min="14303" max="14303" width="11.5703125" style="239" customWidth="1"/>
    <col min="14304" max="14304" width="27.42578125" style="239" customWidth="1"/>
    <col min="14305" max="14305" width="134.28515625" style="239" customWidth="1"/>
    <col min="14306" max="14306" width="11.140625" style="239" customWidth="1"/>
    <col min="14307" max="14307" width="21.42578125" style="239" customWidth="1"/>
    <col min="14308" max="14308" width="19.42578125" style="239" customWidth="1"/>
    <col min="14309" max="14309" width="14.140625" style="239" customWidth="1"/>
    <col min="14310" max="14310" width="12.7109375" style="239" customWidth="1"/>
    <col min="14311" max="14311" width="23.42578125" style="239" customWidth="1"/>
    <col min="14312" max="14312" width="25.85546875" style="239" customWidth="1"/>
    <col min="14313" max="14313" width="23.7109375" style="239" customWidth="1"/>
    <col min="14314" max="14314" width="20.28515625" style="239" customWidth="1"/>
    <col min="14315" max="14315" width="24.140625" style="239" customWidth="1"/>
    <col min="14316" max="14316" width="18.7109375" style="239" bestFit="1" customWidth="1"/>
    <col min="14317" max="14317" width="12.140625" style="239" bestFit="1" customWidth="1"/>
    <col min="14318" max="14318" width="19.85546875" style="239" bestFit="1" customWidth="1"/>
    <col min="14319" max="14319" width="3.7109375" style="239" customWidth="1"/>
    <col min="14320" max="14320" width="20.140625" style="239" bestFit="1" customWidth="1"/>
    <col min="14321" max="14321" width="15.7109375" style="239" customWidth="1"/>
    <col min="14322" max="14322" width="3.7109375" style="239" customWidth="1"/>
    <col min="14323" max="14323" width="10.42578125" style="239" customWidth="1"/>
    <col min="14324" max="14324" width="22.7109375" style="239" customWidth="1"/>
    <col min="14325" max="14325" width="17.28515625" style="239" bestFit="1" customWidth="1"/>
    <col min="14326" max="14326" width="11" style="239" bestFit="1" customWidth="1"/>
    <col min="14327" max="14327" width="19.85546875" style="239" bestFit="1" customWidth="1"/>
    <col min="14328" max="14330" width="9.140625" style="239" customWidth="1"/>
    <col min="14331" max="14331" width="16.7109375" style="239" customWidth="1"/>
    <col min="14332" max="14558" width="9.140625" style="239"/>
    <col min="14559" max="14559" width="11.5703125" style="239" customWidth="1"/>
    <col min="14560" max="14560" width="27.42578125" style="239" customWidth="1"/>
    <col min="14561" max="14561" width="134.28515625" style="239" customWidth="1"/>
    <col min="14562" max="14562" width="11.140625" style="239" customWidth="1"/>
    <col min="14563" max="14563" width="21.42578125" style="239" customWidth="1"/>
    <col min="14564" max="14564" width="19.42578125" style="239" customWidth="1"/>
    <col min="14565" max="14565" width="14.140625" style="239" customWidth="1"/>
    <col min="14566" max="14566" width="12.7109375" style="239" customWidth="1"/>
    <col min="14567" max="14567" width="23.42578125" style="239" customWidth="1"/>
    <col min="14568" max="14568" width="25.85546875" style="239" customWidth="1"/>
    <col min="14569" max="14569" width="23.7109375" style="239" customWidth="1"/>
    <col min="14570" max="14570" width="20.28515625" style="239" customWidth="1"/>
    <col min="14571" max="14571" width="24.140625" style="239" customWidth="1"/>
    <col min="14572" max="14572" width="18.7109375" style="239" bestFit="1" customWidth="1"/>
    <col min="14573" max="14573" width="12.140625" style="239" bestFit="1" customWidth="1"/>
    <col min="14574" max="14574" width="19.85546875" style="239" bestFit="1" customWidth="1"/>
    <col min="14575" max="14575" width="3.7109375" style="239" customWidth="1"/>
    <col min="14576" max="14576" width="20.140625" style="239" bestFit="1" customWidth="1"/>
    <col min="14577" max="14577" width="15.7109375" style="239" customWidth="1"/>
    <col min="14578" max="14578" width="3.7109375" style="239" customWidth="1"/>
    <col min="14579" max="14579" width="10.42578125" style="239" customWidth="1"/>
    <col min="14580" max="14580" width="22.7109375" style="239" customWidth="1"/>
    <col min="14581" max="14581" width="17.28515625" style="239" bestFit="1" customWidth="1"/>
    <col min="14582" max="14582" width="11" style="239" bestFit="1" customWidth="1"/>
    <col min="14583" max="14583" width="19.85546875" style="239" bestFit="1" customWidth="1"/>
    <col min="14584" max="14586" width="9.140625" style="239" customWidth="1"/>
    <col min="14587" max="14587" width="16.7109375" style="239" customWidth="1"/>
    <col min="14588" max="14814" width="9.140625" style="239"/>
    <col min="14815" max="14815" width="11.5703125" style="239" customWidth="1"/>
    <col min="14816" max="14816" width="27.42578125" style="239" customWidth="1"/>
    <col min="14817" max="14817" width="134.28515625" style="239" customWidth="1"/>
    <col min="14818" max="14818" width="11.140625" style="239" customWidth="1"/>
    <col min="14819" max="14819" width="21.42578125" style="239" customWidth="1"/>
    <col min="14820" max="14820" width="19.42578125" style="239" customWidth="1"/>
    <col min="14821" max="14821" width="14.140625" style="239" customWidth="1"/>
    <col min="14822" max="14822" width="12.7109375" style="239" customWidth="1"/>
    <col min="14823" max="14823" width="23.42578125" style="239" customWidth="1"/>
    <col min="14824" max="14824" width="25.85546875" style="239" customWidth="1"/>
    <col min="14825" max="14825" width="23.7109375" style="239" customWidth="1"/>
    <col min="14826" max="14826" width="20.28515625" style="239" customWidth="1"/>
    <col min="14827" max="14827" width="24.140625" style="239" customWidth="1"/>
    <col min="14828" max="14828" width="18.7109375" style="239" bestFit="1" customWidth="1"/>
    <col min="14829" max="14829" width="12.140625" style="239" bestFit="1" customWidth="1"/>
    <col min="14830" max="14830" width="19.85546875" style="239" bestFit="1" customWidth="1"/>
    <col min="14831" max="14831" width="3.7109375" style="239" customWidth="1"/>
    <col min="14832" max="14832" width="20.140625" style="239" bestFit="1" customWidth="1"/>
    <col min="14833" max="14833" width="15.7109375" style="239" customWidth="1"/>
    <col min="14834" max="14834" width="3.7109375" style="239" customWidth="1"/>
    <col min="14835" max="14835" width="10.42578125" style="239" customWidth="1"/>
    <col min="14836" max="14836" width="22.7109375" style="239" customWidth="1"/>
    <col min="14837" max="14837" width="17.28515625" style="239" bestFit="1" customWidth="1"/>
    <col min="14838" max="14838" width="11" style="239" bestFit="1" customWidth="1"/>
    <col min="14839" max="14839" width="19.85546875" style="239" bestFit="1" customWidth="1"/>
    <col min="14840" max="14842" width="9.140625" style="239" customWidth="1"/>
    <col min="14843" max="14843" width="16.7109375" style="239" customWidth="1"/>
    <col min="14844" max="15070" width="9.140625" style="239"/>
    <col min="15071" max="15071" width="11.5703125" style="239" customWidth="1"/>
    <col min="15072" max="15072" width="27.42578125" style="239" customWidth="1"/>
    <col min="15073" max="15073" width="134.28515625" style="239" customWidth="1"/>
    <col min="15074" max="15074" width="11.140625" style="239" customWidth="1"/>
    <col min="15075" max="15075" width="21.42578125" style="239" customWidth="1"/>
    <col min="15076" max="15076" width="19.42578125" style="239" customWidth="1"/>
    <col min="15077" max="15077" width="14.140625" style="239" customWidth="1"/>
    <col min="15078" max="15078" width="12.7109375" style="239" customWidth="1"/>
    <col min="15079" max="15079" width="23.42578125" style="239" customWidth="1"/>
    <col min="15080" max="15080" width="25.85546875" style="239" customWidth="1"/>
    <col min="15081" max="15081" width="23.7109375" style="239" customWidth="1"/>
    <col min="15082" max="15082" width="20.28515625" style="239" customWidth="1"/>
    <col min="15083" max="15083" width="24.140625" style="239" customWidth="1"/>
    <col min="15084" max="15084" width="18.7109375" style="239" bestFit="1" customWidth="1"/>
    <col min="15085" max="15085" width="12.140625" style="239" bestFit="1" customWidth="1"/>
    <col min="15086" max="15086" width="19.85546875" style="239" bestFit="1" customWidth="1"/>
    <col min="15087" max="15087" width="3.7109375" style="239" customWidth="1"/>
    <col min="15088" max="15088" width="20.140625" style="239" bestFit="1" customWidth="1"/>
    <col min="15089" max="15089" width="15.7109375" style="239" customWidth="1"/>
    <col min="15090" max="15090" width="3.7109375" style="239" customWidth="1"/>
    <col min="15091" max="15091" width="10.42578125" style="239" customWidth="1"/>
    <col min="15092" max="15092" width="22.7109375" style="239" customWidth="1"/>
    <col min="15093" max="15093" width="17.28515625" style="239" bestFit="1" customWidth="1"/>
    <col min="15094" max="15094" width="11" style="239" bestFit="1" customWidth="1"/>
    <col min="15095" max="15095" width="19.85546875" style="239" bestFit="1" customWidth="1"/>
    <col min="15096" max="15098" width="9.140625" style="239" customWidth="1"/>
    <col min="15099" max="15099" width="16.7109375" style="239" customWidth="1"/>
    <col min="15100" max="15326" width="9.140625" style="239"/>
    <col min="15327" max="15327" width="11.5703125" style="239" customWidth="1"/>
    <col min="15328" max="15328" width="27.42578125" style="239" customWidth="1"/>
    <col min="15329" max="15329" width="134.28515625" style="239" customWidth="1"/>
    <col min="15330" max="15330" width="11.140625" style="239" customWidth="1"/>
    <col min="15331" max="15331" width="21.42578125" style="239" customWidth="1"/>
    <col min="15332" max="15332" width="19.42578125" style="239" customWidth="1"/>
    <col min="15333" max="15333" width="14.140625" style="239" customWidth="1"/>
    <col min="15334" max="15334" width="12.7109375" style="239" customWidth="1"/>
    <col min="15335" max="15335" width="23.42578125" style="239" customWidth="1"/>
    <col min="15336" max="15336" width="25.85546875" style="239" customWidth="1"/>
    <col min="15337" max="15337" width="23.7109375" style="239" customWidth="1"/>
    <col min="15338" max="15338" width="20.28515625" style="239" customWidth="1"/>
    <col min="15339" max="15339" width="24.140625" style="239" customWidth="1"/>
    <col min="15340" max="15340" width="18.7109375" style="239" bestFit="1" customWidth="1"/>
    <col min="15341" max="15341" width="12.140625" style="239" bestFit="1" customWidth="1"/>
    <col min="15342" max="15342" width="19.85546875" style="239" bestFit="1" customWidth="1"/>
    <col min="15343" max="15343" width="3.7109375" style="239" customWidth="1"/>
    <col min="15344" max="15344" width="20.140625" style="239" bestFit="1" customWidth="1"/>
    <col min="15345" max="15345" width="15.7109375" style="239" customWidth="1"/>
    <col min="15346" max="15346" width="3.7109375" style="239" customWidth="1"/>
    <col min="15347" max="15347" width="10.42578125" style="239" customWidth="1"/>
    <col min="15348" max="15348" width="22.7109375" style="239" customWidth="1"/>
    <col min="15349" max="15349" width="17.28515625" style="239" bestFit="1" customWidth="1"/>
    <col min="15350" max="15350" width="11" style="239" bestFit="1" customWidth="1"/>
    <col min="15351" max="15351" width="19.85546875" style="239" bestFit="1" customWidth="1"/>
    <col min="15352" max="15354" width="9.140625" style="239" customWidth="1"/>
    <col min="15355" max="15355" width="16.7109375" style="239" customWidth="1"/>
    <col min="15356" max="15582" width="9.140625" style="239"/>
    <col min="15583" max="15583" width="11.5703125" style="239" customWidth="1"/>
    <col min="15584" max="15584" width="27.42578125" style="239" customWidth="1"/>
    <col min="15585" max="15585" width="134.28515625" style="239" customWidth="1"/>
    <col min="15586" max="15586" width="11.140625" style="239" customWidth="1"/>
    <col min="15587" max="15587" width="21.42578125" style="239" customWidth="1"/>
    <col min="15588" max="15588" width="19.42578125" style="239" customWidth="1"/>
    <col min="15589" max="15589" width="14.140625" style="239" customWidth="1"/>
    <col min="15590" max="15590" width="12.7109375" style="239" customWidth="1"/>
    <col min="15591" max="15591" width="23.42578125" style="239" customWidth="1"/>
    <col min="15592" max="15592" width="25.85546875" style="239" customWidth="1"/>
    <col min="15593" max="15593" width="23.7109375" style="239" customWidth="1"/>
    <col min="15594" max="15594" width="20.28515625" style="239" customWidth="1"/>
    <col min="15595" max="15595" width="24.140625" style="239" customWidth="1"/>
    <col min="15596" max="15596" width="18.7109375" style="239" bestFit="1" customWidth="1"/>
    <col min="15597" max="15597" width="12.140625" style="239" bestFit="1" customWidth="1"/>
    <col min="15598" max="15598" width="19.85546875" style="239" bestFit="1" customWidth="1"/>
    <col min="15599" max="15599" width="3.7109375" style="239" customWidth="1"/>
    <col min="15600" max="15600" width="20.140625" style="239" bestFit="1" customWidth="1"/>
    <col min="15601" max="15601" width="15.7109375" style="239" customWidth="1"/>
    <col min="15602" max="15602" width="3.7109375" style="239" customWidth="1"/>
    <col min="15603" max="15603" width="10.42578125" style="239" customWidth="1"/>
    <col min="15604" max="15604" width="22.7109375" style="239" customWidth="1"/>
    <col min="15605" max="15605" width="17.28515625" style="239" bestFit="1" customWidth="1"/>
    <col min="15606" max="15606" width="11" style="239" bestFit="1" customWidth="1"/>
    <col min="15607" max="15607" width="19.85546875" style="239" bestFit="1" customWidth="1"/>
    <col min="15608" max="15610" width="9.140625" style="239" customWidth="1"/>
    <col min="15611" max="15611" width="16.7109375" style="239" customWidth="1"/>
    <col min="15612" max="15838" width="9.140625" style="239"/>
    <col min="15839" max="15839" width="11.5703125" style="239" customWidth="1"/>
    <col min="15840" max="15840" width="27.42578125" style="239" customWidth="1"/>
    <col min="15841" max="15841" width="134.28515625" style="239" customWidth="1"/>
    <col min="15842" max="15842" width="11.140625" style="239" customWidth="1"/>
    <col min="15843" max="15843" width="21.42578125" style="239" customWidth="1"/>
    <col min="15844" max="15844" width="19.42578125" style="239" customWidth="1"/>
    <col min="15845" max="15845" width="14.140625" style="239" customWidth="1"/>
    <col min="15846" max="15846" width="12.7109375" style="239" customWidth="1"/>
    <col min="15847" max="15847" width="23.42578125" style="239" customWidth="1"/>
    <col min="15848" max="15848" width="25.85546875" style="239" customWidth="1"/>
    <col min="15849" max="15849" width="23.7109375" style="239" customWidth="1"/>
    <col min="15850" max="15850" width="20.28515625" style="239" customWidth="1"/>
    <col min="15851" max="15851" width="24.140625" style="239" customWidth="1"/>
    <col min="15852" max="15852" width="18.7109375" style="239" bestFit="1" customWidth="1"/>
    <col min="15853" max="15853" width="12.140625" style="239" bestFit="1" customWidth="1"/>
    <col min="15854" max="15854" width="19.85546875" style="239" bestFit="1" customWidth="1"/>
    <col min="15855" max="15855" width="3.7109375" style="239" customWidth="1"/>
    <col min="15856" max="15856" width="20.140625" style="239" bestFit="1" customWidth="1"/>
    <col min="15857" max="15857" width="15.7109375" style="239" customWidth="1"/>
    <col min="15858" max="15858" width="3.7109375" style="239" customWidth="1"/>
    <col min="15859" max="15859" width="10.42578125" style="239" customWidth="1"/>
    <col min="15860" max="15860" width="22.7109375" style="239" customWidth="1"/>
    <col min="15861" max="15861" width="17.28515625" style="239" bestFit="1" customWidth="1"/>
    <col min="15862" max="15862" width="11" style="239" bestFit="1" customWidth="1"/>
    <col min="15863" max="15863" width="19.85546875" style="239" bestFit="1" customWidth="1"/>
    <col min="15864" max="15866" width="9.140625" style="239" customWidth="1"/>
    <col min="15867" max="15867" width="16.7109375" style="239" customWidth="1"/>
    <col min="15868" max="16094" width="9.140625" style="239"/>
    <col min="16095" max="16095" width="11.5703125" style="239" customWidth="1"/>
    <col min="16096" max="16096" width="27.42578125" style="239" customWidth="1"/>
    <col min="16097" max="16097" width="134.28515625" style="239" customWidth="1"/>
    <col min="16098" max="16098" width="11.140625" style="239" customWidth="1"/>
    <col min="16099" max="16099" width="21.42578125" style="239" customWidth="1"/>
    <col min="16100" max="16100" width="19.42578125" style="239" customWidth="1"/>
    <col min="16101" max="16101" width="14.140625" style="239" customWidth="1"/>
    <col min="16102" max="16102" width="12.7109375" style="239" customWidth="1"/>
    <col min="16103" max="16103" width="23.42578125" style="239" customWidth="1"/>
    <col min="16104" max="16104" width="25.85546875" style="239" customWidth="1"/>
    <col min="16105" max="16105" width="23.7109375" style="239" customWidth="1"/>
    <col min="16106" max="16106" width="20.28515625" style="239" customWidth="1"/>
    <col min="16107" max="16107" width="24.140625" style="239" customWidth="1"/>
    <col min="16108" max="16108" width="18.7109375" style="239" bestFit="1" customWidth="1"/>
    <col min="16109" max="16109" width="12.140625" style="239" bestFit="1" customWidth="1"/>
    <col min="16110" max="16110" width="19.85546875" style="239" bestFit="1" customWidth="1"/>
    <col min="16111" max="16111" width="3.7109375" style="239" customWidth="1"/>
    <col min="16112" max="16112" width="20.140625" style="239" bestFit="1" customWidth="1"/>
    <col min="16113" max="16113" width="15.7109375" style="239" customWidth="1"/>
    <col min="16114" max="16114" width="3.7109375" style="239" customWidth="1"/>
    <col min="16115" max="16115" width="10.42578125" style="239" customWidth="1"/>
    <col min="16116" max="16116" width="22.7109375" style="239" customWidth="1"/>
    <col min="16117" max="16117" width="17.28515625" style="239" bestFit="1" customWidth="1"/>
    <col min="16118" max="16118" width="11" style="239" bestFit="1" customWidth="1"/>
    <col min="16119" max="16119" width="19.85546875" style="239" bestFit="1" customWidth="1"/>
    <col min="16120" max="16122" width="9.140625" style="239" customWidth="1"/>
    <col min="16123" max="16123" width="16.7109375" style="239" customWidth="1"/>
    <col min="16124" max="16384" width="9.140625" style="239"/>
  </cols>
  <sheetData>
    <row r="1" spans="1:28" ht="207.75" customHeight="1">
      <c r="A1" s="457"/>
      <c r="B1" s="553"/>
      <c r="C1" s="554"/>
      <c r="D1" s="555"/>
      <c r="E1" s="556"/>
      <c r="F1" s="556"/>
      <c r="G1" s="556"/>
      <c r="H1" s="555"/>
      <c r="I1" s="556"/>
      <c r="J1" s="556"/>
      <c r="K1" s="557"/>
    </row>
    <row r="2" spans="1:28" ht="35.25" customHeight="1" thickBot="1">
      <c r="A2" s="813" t="s">
        <v>1076</v>
      </c>
      <c r="B2" s="814"/>
      <c r="C2" s="814"/>
      <c r="D2" s="814"/>
      <c r="E2" s="814"/>
      <c r="F2" s="814"/>
      <c r="G2" s="814"/>
      <c r="H2" s="814"/>
      <c r="I2" s="814"/>
      <c r="J2" s="814"/>
      <c r="K2" s="815"/>
      <c r="L2" s="412"/>
      <c r="M2" s="558" t="s">
        <v>311</v>
      </c>
      <c r="N2" s="559" t="s">
        <v>57</v>
      </c>
      <c r="O2" s="560"/>
      <c r="P2" s="560" t="s">
        <v>189</v>
      </c>
      <c r="Q2" s="561" t="s">
        <v>190</v>
      </c>
      <c r="R2" s="561" t="s">
        <v>311</v>
      </c>
      <c r="S2" s="562" t="s">
        <v>250</v>
      </c>
      <c r="T2" s="563" t="s">
        <v>58</v>
      </c>
      <c r="U2" s="563" t="s">
        <v>191</v>
      </c>
      <c r="V2" s="563" t="s">
        <v>263</v>
      </c>
      <c r="W2" s="563" t="s">
        <v>264</v>
      </c>
      <c r="X2" s="563" t="s">
        <v>265</v>
      </c>
      <c r="Y2" s="238"/>
    </row>
    <row r="3" spans="1:28" s="240" customFormat="1" ht="56.25" customHeight="1">
      <c r="A3" s="458" t="s">
        <v>0</v>
      </c>
      <c r="B3" s="459" t="s">
        <v>96</v>
      </c>
      <c r="C3" s="458" t="s">
        <v>97</v>
      </c>
      <c r="D3" s="458" t="s">
        <v>98</v>
      </c>
      <c r="E3" s="458" t="s">
        <v>99</v>
      </c>
      <c r="F3" s="458" t="s">
        <v>100</v>
      </c>
      <c r="G3" s="458" t="s">
        <v>101</v>
      </c>
      <c r="H3" s="458" t="s">
        <v>102</v>
      </c>
      <c r="I3" s="458" t="s">
        <v>103</v>
      </c>
      <c r="J3" s="459" t="s">
        <v>764</v>
      </c>
      <c r="K3" s="458" t="s">
        <v>105</v>
      </c>
      <c r="L3" s="413"/>
      <c r="M3" s="564" t="e">
        <f>N3-P3</f>
        <v>#REF!</v>
      </c>
      <c r="N3" s="565" t="e">
        <f>#REF!</f>
        <v>#REF!</v>
      </c>
      <c r="O3" s="566"/>
      <c r="P3" s="567" t="e">
        <f>#REF!+#REF!</f>
        <v>#REF!</v>
      </c>
      <c r="Q3" s="566" t="e">
        <f>#REF!</f>
        <v>#REF!</v>
      </c>
      <c r="R3" s="568" t="e">
        <f>S3-(T3+Q3)</f>
        <v>#REF!</v>
      </c>
      <c r="S3" s="566" t="e">
        <f>#REF!+#REF!+#REF!+#REF!+#REF!</f>
        <v>#REF!</v>
      </c>
      <c r="T3" s="566" t="e">
        <f>#REF!</f>
        <v>#REF!</v>
      </c>
      <c r="U3" s="568" t="e">
        <f>S3-(T3+Q3)</f>
        <v>#REF!</v>
      </c>
      <c r="V3" s="566" t="e">
        <f>#REF!</f>
        <v>#REF!</v>
      </c>
      <c r="W3" s="568" t="e">
        <f>#REF!</f>
        <v>#REF!</v>
      </c>
      <c r="X3" s="569" t="e">
        <f>#REF!</f>
        <v>#REF!</v>
      </c>
    </row>
    <row r="4" spans="1:28" s="527" customFormat="1" ht="36.75" customHeight="1">
      <c r="A4" s="771">
        <v>1</v>
      </c>
      <c r="B4" s="772" t="str">
        <f>[9]ORÇAMENTO!E6</f>
        <v>SERVIÇOS PRELIMINARES</v>
      </c>
      <c r="C4" s="717"/>
      <c r="D4" s="718"/>
      <c r="E4" s="719"/>
      <c r="F4" s="719"/>
      <c r="G4" s="719"/>
      <c r="H4" s="720"/>
      <c r="I4" s="721"/>
      <c r="J4" s="721"/>
      <c r="K4" s="722"/>
      <c r="L4" s="533"/>
      <c r="M4" s="528"/>
      <c r="O4" s="251" t="s">
        <v>185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8" s="454" customFormat="1" ht="49.5" customHeight="1">
      <c r="A5" s="726" t="s">
        <v>9</v>
      </c>
      <c r="B5" s="773" t="str">
        <f>[9]ORÇAMENTO!E7</f>
        <v>CANTEIRO DE OBRAS</v>
      </c>
      <c r="C5" s="741"/>
      <c r="D5" s="742"/>
      <c r="E5" s="728"/>
      <c r="F5" s="728"/>
      <c r="G5" s="728"/>
      <c r="H5" s="729"/>
      <c r="I5" s="730"/>
      <c r="J5" s="730"/>
      <c r="K5" s="731"/>
      <c r="L5" s="455"/>
      <c r="M5" s="452"/>
      <c r="O5" s="460" t="s">
        <v>258</v>
      </c>
      <c r="P5" s="453"/>
      <c r="Q5" s="453"/>
      <c r="R5" s="453"/>
      <c r="S5" s="453"/>
      <c r="T5" s="453"/>
      <c r="U5" s="453"/>
      <c r="V5" s="453"/>
      <c r="W5" s="453"/>
      <c r="X5" s="453"/>
      <c r="Y5" s="453"/>
    </row>
    <row r="6" spans="1:28" s="454" customFormat="1" ht="97.5" customHeight="1">
      <c r="A6" s="534" t="s">
        <v>759</v>
      </c>
      <c r="B6" s="484" t="s">
        <v>1053</v>
      </c>
      <c r="C6" s="534" t="s">
        <v>154</v>
      </c>
      <c r="D6" s="532"/>
      <c r="E6" s="531"/>
      <c r="F6" s="531"/>
      <c r="G6" s="531"/>
      <c r="H6" s="530"/>
      <c r="I6" s="252"/>
      <c r="J6" s="252"/>
      <c r="K6" s="694">
        <f>+H7</f>
        <v>3</v>
      </c>
      <c r="L6" s="455"/>
      <c r="M6" s="452"/>
      <c r="N6" s="452"/>
      <c r="O6" s="529" t="s">
        <v>257</v>
      </c>
    </row>
    <row r="7" spans="1:28" s="575" customFormat="1">
      <c r="A7" s="695"/>
      <c r="B7" s="696" t="s">
        <v>1051</v>
      </c>
      <c r="C7" s="697"/>
      <c r="D7" s="698">
        <v>3</v>
      </c>
      <c r="E7" s="699"/>
      <c r="F7" s="700"/>
      <c r="G7" s="701"/>
      <c r="H7" s="493">
        <f>D7</f>
        <v>3</v>
      </c>
      <c r="I7" s="493"/>
      <c r="J7" s="550"/>
      <c r="K7" s="485"/>
      <c r="L7" s="715"/>
      <c r="M7" s="571"/>
      <c r="N7" s="588"/>
      <c r="O7" s="588"/>
      <c r="P7" s="589"/>
      <c r="Q7" s="572"/>
      <c r="R7" s="573"/>
      <c r="S7" s="574"/>
      <c r="T7" s="574"/>
      <c r="U7" s="574"/>
      <c r="V7" s="574"/>
      <c r="W7" s="574"/>
      <c r="X7" s="572"/>
      <c r="Y7" s="572"/>
      <c r="Z7" s="572"/>
      <c r="AB7" s="573"/>
    </row>
    <row r="8" spans="1:28" s="575" customFormat="1">
      <c r="A8" s="695"/>
      <c r="B8" s="696"/>
      <c r="C8" s="697"/>
      <c r="D8" s="698"/>
      <c r="E8" s="699"/>
      <c r="F8" s="700"/>
      <c r="G8" s="701"/>
      <c r="H8" s="493"/>
      <c r="I8" s="493"/>
      <c r="J8" s="550"/>
      <c r="K8" s="485"/>
      <c r="L8" s="715"/>
      <c r="M8" s="571"/>
      <c r="N8" s="588"/>
      <c r="O8" s="588"/>
      <c r="P8" s="589"/>
      <c r="Q8" s="572"/>
      <c r="R8" s="573"/>
      <c r="S8" s="574"/>
      <c r="T8" s="574"/>
      <c r="U8" s="574"/>
      <c r="V8" s="574"/>
      <c r="W8" s="574"/>
      <c r="X8" s="572"/>
      <c r="Y8" s="572"/>
      <c r="Z8" s="572"/>
      <c r="AB8" s="573"/>
    </row>
    <row r="9" spans="1:28" s="575" customFormat="1">
      <c r="A9" s="695"/>
      <c r="B9" s="697"/>
      <c r="C9" s="697"/>
      <c r="D9" s="698"/>
      <c r="E9" s="699"/>
      <c r="F9" s="700"/>
      <c r="G9" s="701"/>
      <c r="H9" s="549"/>
      <c r="I9" s="549"/>
      <c r="J9" s="550"/>
      <c r="K9" s="485"/>
      <c r="L9" s="715"/>
      <c r="M9" s="571"/>
      <c r="N9" s="577" t="s">
        <v>611</v>
      </c>
      <c r="O9" s="577" t="s">
        <v>611</v>
      </c>
      <c r="P9" s="577" t="s">
        <v>611</v>
      </c>
      <c r="Q9" s="572"/>
      <c r="R9" s="573"/>
      <c r="S9" s="574"/>
      <c r="T9" s="574"/>
      <c r="U9" s="574"/>
      <c r="V9" s="574"/>
      <c r="W9" s="574"/>
      <c r="X9" s="572"/>
      <c r="Y9" s="572"/>
      <c r="Z9" s="572"/>
      <c r="AB9" s="573" t="s">
        <v>668</v>
      </c>
    </row>
    <row r="10" spans="1:28" s="585" customFormat="1" ht="86.25" customHeight="1">
      <c r="A10" s="534" t="s">
        <v>760</v>
      </c>
      <c r="B10" s="484" t="s">
        <v>1054</v>
      </c>
      <c r="C10" s="534" t="s">
        <v>154</v>
      </c>
      <c r="D10" s="579"/>
      <c r="E10" s="580"/>
      <c r="F10" s="580"/>
      <c r="G10" s="580"/>
      <c r="H10" s="578"/>
      <c r="I10" s="581"/>
      <c r="J10" s="581"/>
      <c r="K10" s="694">
        <f>SUM(H11:H13)</f>
        <v>3</v>
      </c>
      <c r="L10" s="582"/>
      <c r="M10" s="583"/>
      <c r="N10" s="583"/>
      <c r="O10" s="584" t="s">
        <v>257</v>
      </c>
    </row>
    <row r="11" spans="1:28" s="575" customFormat="1">
      <c r="A11" s="695"/>
      <c r="B11" s="696" t="s">
        <v>1052</v>
      </c>
      <c r="C11" s="697"/>
      <c r="D11" s="698">
        <v>3</v>
      </c>
      <c r="E11" s="699"/>
      <c r="F11" s="700"/>
      <c r="G11" s="701"/>
      <c r="H11" s="493">
        <f>D11</f>
        <v>3</v>
      </c>
      <c r="I11" s="493"/>
      <c r="J11" s="550"/>
      <c r="K11" s="485"/>
      <c r="L11" s="715"/>
      <c r="M11" s="571"/>
      <c r="N11" s="588"/>
      <c r="O11" s="588"/>
      <c r="P11" s="589"/>
      <c r="Q11" s="572"/>
      <c r="R11" s="573"/>
      <c r="S11" s="574"/>
      <c r="T11" s="574"/>
      <c r="U11" s="574"/>
      <c r="V11" s="574"/>
      <c r="W11" s="574"/>
      <c r="X11" s="572"/>
      <c r="Y11" s="572"/>
      <c r="Z11" s="572"/>
      <c r="AB11" s="573"/>
    </row>
    <row r="12" spans="1:28" s="575" customFormat="1">
      <c r="A12" s="695"/>
      <c r="B12" s="696"/>
      <c r="C12" s="697"/>
      <c r="D12" s="698"/>
      <c r="E12" s="699"/>
      <c r="F12" s="700"/>
      <c r="G12" s="701"/>
      <c r="H12" s="493"/>
      <c r="I12" s="493"/>
      <c r="J12" s="550"/>
      <c r="K12" s="485"/>
      <c r="L12" s="715"/>
      <c r="M12" s="571"/>
      <c r="N12" s="588"/>
      <c r="O12" s="588"/>
      <c r="P12" s="589"/>
      <c r="Q12" s="572"/>
      <c r="R12" s="573"/>
      <c r="S12" s="574"/>
      <c r="T12" s="574"/>
      <c r="U12" s="574"/>
      <c r="V12" s="574"/>
      <c r="W12" s="574"/>
      <c r="X12" s="572"/>
      <c r="Y12" s="572"/>
      <c r="Z12" s="572"/>
      <c r="AB12" s="573"/>
    </row>
    <row r="13" spans="1:28" s="575" customFormat="1">
      <c r="A13" s="695"/>
      <c r="B13" s="697"/>
      <c r="C13" s="697"/>
      <c r="D13" s="698"/>
      <c r="E13" s="699"/>
      <c r="F13" s="700"/>
      <c r="G13" s="701"/>
      <c r="H13" s="549"/>
      <c r="I13" s="549"/>
      <c r="J13" s="550"/>
      <c r="K13" s="485"/>
      <c r="L13" s="715"/>
      <c r="M13" s="571"/>
      <c r="N13" s="577" t="s">
        <v>611</v>
      </c>
      <c r="O13" s="577" t="s">
        <v>611</v>
      </c>
      <c r="P13" s="577" t="s">
        <v>611</v>
      </c>
      <c r="Q13" s="572"/>
      <c r="R13" s="573"/>
      <c r="S13" s="574"/>
      <c r="T13" s="574"/>
      <c r="U13" s="574"/>
      <c r="V13" s="574"/>
      <c r="W13" s="574"/>
      <c r="X13" s="572"/>
      <c r="Y13" s="572"/>
      <c r="Z13" s="572"/>
      <c r="AB13" s="573" t="s">
        <v>668</v>
      </c>
    </row>
    <row r="14" spans="1:28" s="585" customFormat="1" ht="111" customHeight="1">
      <c r="A14" s="534" t="s">
        <v>761</v>
      </c>
      <c r="B14" s="484" t="s">
        <v>1063</v>
      </c>
      <c r="C14" s="534" t="s">
        <v>154</v>
      </c>
      <c r="D14" s="579"/>
      <c r="E14" s="580"/>
      <c r="F14" s="580"/>
      <c r="G14" s="580"/>
      <c r="H14" s="578"/>
      <c r="I14" s="581"/>
      <c r="J14" s="581"/>
      <c r="K14" s="694">
        <f>+H15</f>
        <v>3</v>
      </c>
      <c r="L14" s="582"/>
      <c r="M14" s="583"/>
      <c r="N14" s="583"/>
      <c r="O14" s="584" t="s">
        <v>257</v>
      </c>
    </row>
    <row r="15" spans="1:28" s="575" customFormat="1">
      <c r="A15" s="695"/>
      <c r="B15" s="696" t="s">
        <v>1051</v>
      </c>
      <c r="C15" s="697"/>
      <c r="D15" s="698">
        <v>3</v>
      </c>
      <c r="E15" s="699"/>
      <c r="F15" s="700"/>
      <c r="G15" s="701"/>
      <c r="H15" s="493">
        <f>D15</f>
        <v>3</v>
      </c>
      <c r="I15" s="493"/>
      <c r="J15" s="550"/>
      <c r="K15" s="485"/>
      <c r="L15" s="715"/>
      <c r="M15" s="571"/>
      <c r="N15" s="588"/>
      <c r="O15" s="588"/>
      <c r="P15" s="589"/>
      <c r="Q15" s="572"/>
      <c r="R15" s="573"/>
      <c r="S15" s="574"/>
      <c r="T15" s="574"/>
      <c r="U15" s="574"/>
      <c r="V15" s="574"/>
      <c r="W15" s="574"/>
      <c r="X15" s="572"/>
      <c r="Y15" s="572"/>
      <c r="Z15" s="572"/>
      <c r="AB15" s="573"/>
    </row>
    <row r="16" spans="1:28" s="575" customFormat="1">
      <c r="A16" s="695"/>
      <c r="B16" s="696"/>
      <c r="C16" s="697"/>
      <c r="D16" s="698"/>
      <c r="E16" s="699"/>
      <c r="F16" s="700"/>
      <c r="G16" s="701"/>
      <c r="H16" s="493"/>
      <c r="I16" s="493"/>
      <c r="J16" s="550"/>
      <c r="K16" s="485"/>
      <c r="L16" s="715"/>
      <c r="M16" s="571"/>
      <c r="N16" s="588"/>
      <c r="O16" s="588"/>
      <c r="P16" s="589"/>
      <c r="Q16" s="572"/>
      <c r="R16" s="573"/>
      <c r="S16" s="574"/>
      <c r="T16" s="574"/>
      <c r="U16" s="574"/>
      <c r="V16" s="574"/>
      <c r="W16" s="574"/>
      <c r="X16" s="572"/>
      <c r="Y16" s="572"/>
      <c r="Z16" s="572"/>
      <c r="AB16" s="573"/>
    </row>
    <row r="17" spans="1:28" s="575" customFormat="1">
      <c r="A17" s="695"/>
      <c r="B17" s="696"/>
      <c r="C17" s="697"/>
      <c r="D17" s="698"/>
      <c r="E17" s="699"/>
      <c r="F17" s="700"/>
      <c r="G17" s="701"/>
      <c r="H17" s="493"/>
      <c r="I17" s="493"/>
      <c r="J17" s="550"/>
      <c r="K17" s="485"/>
      <c r="L17" s="715"/>
      <c r="M17" s="571"/>
      <c r="N17" s="588"/>
      <c r="O17" s="588"/>
      <c r="P17" s="589"/>
      <c r="Q17" s="572"/>
      <c r="R17" s="573"/>
      <c r="S17" s="574"/>
      <c r="T17" s="574"/>
      <c r="U17" s="574"/>
      <c r="V17" s="574"/>
      <c r="W17" s="574"/>
      <c r="X17" s="572"/>
      <c r="Y17" s="572"/>
      <c r="Z17" s="572"/>
      <c r="AB17" s="573"/>
    </row>
    <row r="18" spans="1:28" s="575" customFormat="1" ht="110.25" customHeight="1">
      <c r="A18" s="689" t="s">
        <v>1064</v>
      </c>
      <c r="B18" s="732" t="s">
        <v>1065</v>
      </c>
      <c r="C18" s="689" t="s">
        <v>45</v>
      </c>
      <c r="D18" s="709"/>
      <c r="E18" s="710"/>
      <c r="F18" s="710"/>
      <c r="G18" s="710"/>
      <c r="H18" s="690"/>
      <c r="I18" s="711"/>
      <c r="J18" s="711"/>
      <c r="K18" s="712">
        <f>+H19</f>
        <v>43.12</v>
      </c>
      <c r="L18" s="715"/>
      <c r="M18" s="571"/>
      <c r="N18" s="588"/>
      <c r="O18" s="588"/>
      <c r="P18" s="589"/>
      <c r="Q18" s="572"/>
      <c r="R18" s="573"/>
      <c r="S18" s="574"/>
      <c r="T18" s="574"/>
      <c r="U18" s="574"/>
      <c r="V18" s="574"/>
      <c r="W18" s="574"/>
      <c r="X18" s="572"/>
      <c r="Y18" s="572"/>
      <c r="Z18" s="572"/>
      <c r="AB18" s="573"/>
    </row>
    <row r="19" spans="1:28" s="575" customFormat="1">
      <c r="A19" s="682"/>
      <c r="B19" s="696" t="s">
        <v>1051</v>
      </c>
      <c r="C19" s="683"/>
      <c r="D19" s="724"/>
      <c r="E19" s="684"/>
      <c r="F19" s="685"/>
      <c r="G19" s="686"/>
      <c r="H19" s="725">
        <v>43.12</v>
      </c>
      <c r="I19" s="725"/>
      <c r="J19" s="688"/>
      <c r="K19" s="716"/>
      <c r="L19" s="715"/>
      <c r="M19" s="571"/>
      <c r="N19" s="588"/>
      <c r="O19" s="588"/>
      <c r="P19" s="589"/>
      <c r="Q19" s="572"/>
      <c r="R19" s="573"/>
      <c r="S19" s="574"/>
      <c r="T19" s="574"/>
      <c r="U19" s="574"/>
      <c r="V19" s="574"/>
      <c r="W19" s="574"/>
      <c r="X19" s="572"/>
      <c r="Y19" s="572"/>
      <c r="Z19" s="572"/>
      <c r="AB19" s="573"/>
    </row>
    <row r="20" spans="1:28" s="575" customFormat="1">
      <c r="A20" s="682"/>
      <c r="B20" s="723"/>
      <c r="C20" s="683"/>
      <c r="D20" s="724"/>
      <c r="E20" s="684"/>
      <c r="F20" s="685"/>
      <c r="G20" s="686"/>
      <c r="H20" s="725"/>
      <c r="I20" s="725"/>
      <c r="J20" s="688"/>
      <c r="K20" s="716"/>
      <c r="L20" s="715"/>
      <c r="M20" s="571"/>
      <c r="N20" s="588"/>
      <c r="O20" s="588"/>
      <c r="P20" s="589"/>
      <c r="Q20" s="572"/>
      <c r="R20" s="573"/>
      <c r="S20" s="574"/>
      <c r="T20" s="574"/>
      <c r="U20" s="574"/>
      <c r="V20" s="574"/>
      <c r="W20" s="574"/>
      <c r="X20" s="572"/>
      <c r="Y20" s="572"/>
      <c r="Z20" s="572"/>
      <c r="AB20" s="573"/>
    </row>
    <row r="21" spans="1:28" s="575" customFormat="1">
      <c r="A21" s="682"/>
      <c r="B21" s="723"/>
      <c r="C21" s="683"/>
      <c r="D21" s="724"/>
      <c r="E21" s="684"/>
      <c r="F21" s="685"/>
      <c r="G21" s="686"/>
      <c r="H21" s="725"/>
      <c r="I21" s="725"/>
      <c r="J21" s="688"/>
      <c r="K21" s="716"/>
      <c r="L21" s="715"/>
      <c r="M21" s="571"/>
      <c r="N21" s="588"/>
      <c r="O21" s="588"/>
      <c r="P21" s="589"/>
      <c r="Q21" s="572"/>
      <c r="R21" s="573"/>
      <c r="S21" s="574"/>
      <c r="T21" s="574"/>
      <c r="U21" s="574"/>
      <c r="V21" s="574"/>
      <c r="W21" s="574"/>
      <c r="X21" s="572"/>
      <c r="Y21" s="572"/>
      <c r="Z21" s="572"/>
      <c r="AB21" s="573"/>
    </row>
    <row r="22" spans="1:28" s="575" customFormat="1" ht="49.5" customHeight="1">
      <c r="A22" s="734" t="s">
        <v>7</v>
      </c>
      <c r="B22" s="774" t="s">
        <v>756</v>
      </c>
      <c r="C22" s="735"/>
      <c r="D22" s="736"/>
      <c r="E22" s="737"/>
      <c r="F22" s="737"/>
      <c r="G22" s="737"/>
      <c r="H22" s="738"/>
      <c r="I22" s="739"/>
      <c r="J22" s="739"/>
      <c r="K22" s="740"/>
      <c r="L22" s="715"/>
      <c r="M22" s="571"/>
      <c r="N22" s="588"/>
      <c r="O22" s="588"/>
      <c r="P22" s="589"/>
      <c r="Q22" s="572"/>
      <c r="R22" s="573"/>
      <c r="S22" s="574"/>
      <c r="T22" s="574"/>
      <c r="U22" s="574"/>
      <c r="V22" s="574"/>
      <c r="W22" s="574"/>
      <c r="X22" s="572"/>
      <c r="Y22" s="572"/>
      <c r="Z22" s="572"/>
      <c r="AB22" s="573"/>
    </row>
    <row r="23" spans="1:28" s="575" customFormat="1" ht="68.25" customHeight="1">
      <c r="A23" s="689" t="s">
        <v>762</v>
      </c>
      <c r="B23" s="708" t="s">
        <v>1066</v>
      </c>
      <c r="C23" s="690" t="s">
        <v>44</v>
      </c>
      <c r="D23" s="713"/>
      <c r="E23" s="710"/>
      <c r="F23" s="710"/>
      <c r="G23" s="710"/>
      <c r="H23" s="690"/>
      <c r="I23" s="711"/>
      <c r="J23" s="711"/>
      <c r="K23" s="712">
        <f>SUM(K24:K26)</f>
        <v>100</v>
      </c>
      <c r="L23" s="715"/>
      <c r="M23" s="571"/>
      <c r="N23" s="588"/>
      <c r="O23" s="588"/>
      <c r="P23" s="589"/>
      <c r="Q23" s="572"/>
      <c r="R23" s="573"/>
      <c r="S23" s="574"/>
      <c r="T23" s="574"/>
      <c r="U23" s="574"/>
      <c r="V23" s="574"/>
      <c r="W23" s="574"/>
      <c r="X23" s="572"/>
      <c r="Y23" s="572"/>
      <c r="Z23" s="572"/>
      <c r="AB23" s="573"/>
    </row>
    <row r="24" spans="1:28" s="575" customFormat="1">
      <c r="A24" s="695"/>
      <c r="B24" s="696" t="s">
        <v>1060</v>
      </c>
      <c r="C24" s="697"/>
      <c r="D24" s="698"/>
      <c r="E24" s="699">
        <v>100</v>
      </c>
      <c r="F24" s="700"/>
      <c r="G24" s="701"/>
      <c r="H24" s="493"/>
      <c r="I24" s="493"/>
      <c r="J24" s="550"/>
      <c r="K24" s="485">
        <f>E24</f>
        <v>100</v>
      </c>
      <c r="L24" s="715"/>
      <c r="M24" s="571"/>
      <c r="N24" s="588"/>
      <c r="O24" s="588"/>
      <c r="P24" s="589"/>
      <c r="Q24" s="572"/>
      <c r="R24" s="573"/>
      <c r="S24" s="574"/>
      <c r="T24" s="574"/>
      <c r="U24" s="574"/>
      <c r="V24" s="574"/>
      <c r="W24" s="574"/>
      <c r="X24" s="572"/>
      <c r="Y24" s="572"/>
      <c r="Z24" s="572"/>
      <c r="AB24" s="573"/>
    </row>
    <row r="25" spans="1:28" s="575" customFormat="1">
      <c r="A25" s="695"/>
      <c r="B25" s="696"/>
      <c r="C25" s="697"/>
      <c r="D25" s="698"/>
      <c r="E25" s="699"/>
      <c r="F25" s="700"/>
      <c r="G25" s="701"/>
      <c r="H25" s="493"/>
      <c r="I25" s="493"/>
      <c r="J25" s="550"/>
      <c r="K25" s="485"/>
      <c r="L25" s="715"/>
      <c r="M25" s="571"/>
      <c r="N25" s="588"/>
      <c r="O25" s="588"/>
      <c r="P25" s="589"/>
      <c r="Q25" s="572"/>
      <c r="R25" s="573"/>
      <c r="S25" s="574"/>
      <c r="T25" s="574"/>
      <c r="U25" s="574"/>
      <c r="V25" s="574"/>
      <c r="W25" s="574"/>
      <c r="X25" s="572"/>
      <c r="Y25" s="572"/>
      <c r="Z25" s="572"/>
      <c r="AB25" s="573"/>
    </row>
    <row r="26" spans="1:28" s="575" customFormat="1">
      <c r="A26" s="695"/>
      <c r="B26" s="696"/>
      <c r="C26" s="697"/>
      <c r="D26" s="698"/>
      <c r="E26" s="699"/>
      <c r="F26" s="700"/>
      <c r="G26" s="701"/>
      <c r="H26" s="493"/>
      <c r="I26" s="493"/>
      <c r="J26" s="550"/>
      <c r="K26" s="485"/>
      <c r="L26" s="715"/>
      <c r="M26" s="571"/>
      <c r="N26" s="588"/>
      <c r="O26" s="588"/>
      <c r="P26" s="589"/>
      <c r="Q26" s="572"/>
      <c r="R26" s="573"/>
      <c r="S26" s="574"/>
      <c r="T26" s="574"/>
      <c r="U26" s="574"/>
      <c r="V26" s="574"/>
      <c r="W26" s="574"/>
      <c r="X26" s="572"/>
      <c r="Y26" s="572"/>
      <c r="Z26" s="572"/>
      <c r="AB26" s="573"/>
    </row>
    <row r="27" spans="1:28" s="575" customFormat="1" ht="83.25" customHeight="1">
      <c r="A27" s="689" t="s">
        <v>29</v>
      </c>
      <c r="B27" s="708" t="s">
        <v>1067</v>
      </c>
      <c r="C27" s="690" t="s">
        <v>45</v>
      </c>
      <c r="D27" s="713"/>
      <c r="E27" s="710"/>
      <c r="F27" s="710"/>
      <c r="G27" s="710"/>
      <c r="H27" s="690"/>
      <c r="I27" s="711"/>
      <c r="J27" s="711"/>
      <c r="K27" s="712">
        <f>+H28</f>
        <v>360</v>
      </c>
      <c r="L27" s="715"/>
      <c r="M27" s="571"/>
      <c r="N27" s="588"/>
      <c r="O27" s="588"/>
      <c r="P27" s="589"/>
      <c r="Q27" s="572"/>
      <c r="R27" s="573"/>
      <c r="S27" s="574"/>
      <c r="T27" s="574"/>
      <c r="U27" s="574"/>
      <c r="V27" s="574"/>
      <c r="W27" s="574"/>
      <c r="X27" s="572"/>
      <c r="Y27" s="572"/>
      <c r="Z27" s="572"/>
      <c r="AB27" s="573"/>
    </row>
    <row r="28" spans="1:28" s="575" customFormat="1">
      <c r="A28" s="695"/>
      <c r="B28" s="696" t="s">
        <v>1059</v>
      </c>
      <c r="C28" s="697"/>
      <c r="D28" s="698"/>
      <c r="E28" s="699"/>
      <c r="F28" s="700"/>
      <c r="G28" s="701"/>
      <c r="H28" s="493">
        <v>360</v>
      </c>
      <c r="I28" s="493"/>
      <c r="J28" s="550"/>
      <c r="K28" s="485">
        <f>SUM(E28:E30)</f>
        <v>0</v>
      </c>
      <c r="L28" s="715"/>
      <c r="M28" s="571"/>
      <c r="N28" s="588"/>
      <c r="O28" s="588"/>
      <c r="P28" s="589"/>
      <c r="Q28" s="572"/>
      <c r="R28" s="573"/>
      <c r="S28" s="574"/>
      <c r="T28" s="574"/>
      <c r="U28" s="574"/>
      <c r="V28" s="574"/>
      <c r="W28" s="574"/>
      <c r="X28" s="572"/>
      <c r="Y28" s="572"/>
      <c r="Z28" s="572"/>
      <c r="AB28" s="573"/>
    </row>
    <row r="29" spans="1:28" s="575" customFormat="1">
      <c r="A29" s="695"/>
      <c r="B29" s="696"/>
      <c r="C29" s="697"/>
      <c r="D29" s="698"/>
      <c r="E29" s="699"/>
      <c r="F29" s="700"/>
      <c r="G29" s="701"/>
      <c r="H29" s="493"/>
      <c r="I29" s="493"/>
      <c r="J29" s="550"/>
      <c r="K29" s="485"/>
      <c r="L29" s="715"/>
      <c r="M29" s="571"/>
      <c r="N29" s="588"/>
      <c r="O29" s="588"/>
      <c r="P29" s="589"/>
      <c r="Q29" s="572"/>
      <c r="R29" s="573"/>
      <c r="S29" s="574"/>
      <c r="T29" s="574"/>
      <c r="U29" s="574"/>
      <c r="V29" s="574"/>
      <c r="W29" s="574"/>
      <c r="X29" s="572"/>
      <c r="Y29" s="572"/>
      <c r="Z29" s="572"/>
      <c r="AB29" s="573"/>
    </row>
    <row r="30" spans="1:28" s="575" customFormat="1">
      <c r="A30" s="695"/>
      <c r="B30" s="696"/>
      <c r="C30" s="697"/>
      <c r="D30" s="698"/>
      <c r="E30" s="699"/>
      <c r="F30" s="700"/>
      <c r="G30" s="701"/>
      <c r="H30" s="493"/>
      <c r="I30" s="493"/>
      <c r="J30" s="550"/>
      <c r="K30" s="485"/>
      <c r="L30" s="715"/>
      <c r="M30" s="571"/>
      <c r="N30" s="588"/>
      <c r="O30" s="588"/>
      <c r="P30" s="589"/>
      <c r="Q30" s="572"/>
      <c r="R30" s="573"/>
      <c r="S30" s="574"/>
      <c r="T30" s="574"/>
      <c r="U30" s="574"/>
      <c r="V30" s="574"/>
      <c r="W30" s="574"/>
      <c r="X30" s="572"/>
      <c r="Y30" s="572"/>
      <c r="Z30" s="572"/>
      <c r="AB30" s="573"/>
    </row>
    <row r="31" spans="1:28" s="527" customFormat="1" ht="74.25" customHeight="1">
      <c r="A31" s="726" t="str">
        <f>[9]ORÇAMENTO!A15</f>
        <v>1.3</v>
      </c>
      <c r="B31" s="773" t="str">
        <f>[9]ORÇAMENTO!E15</f>
        <v>ACESSO DA OBRA</v>
      </c>
      <c r="C31" s="733"/>
      <c r="D31" s="727"/>
      <c r="E31" s="728"/>
      <c r="F31" s="728"/>
      <c r="G31" s="728"/>
      <c r="H31" s="729"/>
      <c r="I31" s="730"/>
      <c r="J31" s="730"/>
      <c r="K31" s="731"/>
      <c r="L31" s="533"/>
      <c r="M31" s="528"/>
      <c r="N31" s="528"/>
      <c r="O31" s="460" t="s">
        <v>258</v>
      </c>
    </row>
    <row r="32" spans="1:28" s="575" customFormat="1">
      <c r="A32" s="689" t="s">
        <v>32</v>
      </c>
      <c r="B32" s="708" t="s">
        <v>1069</v>
      </c>
      <c r="C32" s="690" t="s">
        <v>45</v>
      </c>
      <c r="D32" s="709"/>
      <c r="E32" s="710"/>
      <c r="F32" s="710"/>
      <c r="G32" s="710"/>
      <c r="H32" s="690"/>
      <c r="I32" s="711"/>
      <c r="J32" s="711"/>
      <c r="K32" s="712">
        <v>4488</v>
      </c>
      <c r="L32" s="715"/>
      <c r="M32" s="571"/>
      <c r="N32" s="588"/>
      <c r="O32" s="588"/>
      <c r="P32" s="589"/>
      <c r="Q32" s="572"/>
      <c r="R32" s="573"/>
      <c r="S32" s="574"/>
      <c r="T32" s="574"/>
      <c r="U32" s="574"/>
      <c r="V32" s="574"/>
      <c r="W32" s="574"/>
      <c r="X32" s="572"/>
      <c r="Y32" s="572"/>
      <c r="Z32" s="572"/>
      <c r="AB32" s="573"/>
    </row>
    <row r="33" spans="1:28" s="575" customFormat="1">
      <c r="A33" s="695"/>
      <c r="B33" s="696" t="s">
        <v>1077</v>
      </c>
      <c r="C33" s="697"/>
      <c r="D33" s="698"/>
      <c r="E33" s="699">
        <v>240</v>
      </c>
      <c r="F33" s="700">
        <v>18.7</v>
      </c>
      <c r="G33" s="701"/>
      <c r="H33" s="493">
        <v>4488</v>
      </c>
      <c r="I33" s="493"/>
      <c r="J33" s="550"/>
      <c r="K33" s="485"/>
      <c r="L33" s="715"/>
      <c r="M33" s="571"/>
      <c r="N33" s="588"/>
      <c r="O33" s="588"/>
      <c r="P33" s="589"/>
      <c r="Q33" s="572"/>
      <c r="R33" s="573"/>
      <c r="S33" s="574"/>
      <c r="T33" s="574"/>
      <c r="U33" s="574"/>
      <c r="V33" s="574"/>
      <c r="W33" s="574"/>
      <c r="X33" s="572"/>
      <c r="Y33" s="572"/>
      <c r="Z33" s="572"/>
      <c r="AB33" s="573"/>
    </row>
    <row r="34" spans="1:28" s="575" customFormat="1">
      <c r="A34" s="695"/>
      <c r="B34" s="696"/>
      <c r="C34" s="697"/>
      <c r="D34" s="698"/>
      <c r="E34" s="699"/>
      <c r="F34" s="700"/>
      <c r="G34" s="701"/>
      <c r="H34" s="493"/>
      <c r="I34" s="493"/>
      <c r="J34" s="550"/>
      <c r="K34" s="485"/>
      <c r="L34" s="715"/>
      <c r="M34" s="571"/>
      <c r="N34" s="588"/>
      <c r="O34" s="588"/>
      <c r="P34" s="589"/>
      <c r="Q34" s="572"/>
      <c r="R34" s="573"/>
      <c r="S34" s="574"/>
      <c r="T34" s="574"/>
      <c r="U34" s="574"/>
      <c r="V34" s="574"/>
      <c r="W34" s="574"/>
      <c r="X34" s="572"/>
      <c r="Y34" s="572"/>
      <c r="Z34" s="572"/>
      <c r="AB34" s="573"/>
    </row>
    <row r="35" spans="1:28" s="575" customFormat="1">
      <c r="A35" s="695"/>
      <c r="B35" s="696"/>
      <c r="C35" s="697"/>
      <c r="D35" s="698"/>
      <c r="E35" s="699"/>
      <c r="F35" s="700"/>
      <c r="G35" s="701"/>
      <c r="H35" s="493">
        <v>0</v>
      </c>
      <c r="I35" s="493"/>
      <c r="J35" s="550"/>
      <c r="K35" s="485"/>
      <c r="L35" s="715"/>
      <c r="M35" s="571"/>
      <c r="N35" s="588"/>
      <c r="O35" s="588"/>
      <c r="P35" s="589"/>
      <c r="Q35" s="572"/>
      <c r="R35" s="573"/>
      <c r="S35" s="574"/>
      <c r="T35" s="574"/>
      <c r="U35" s="574"/>
      <c r="V35" s="574"/>
      <c r="W35" s="574"/>
      <c r="X35" s="572"/>
      <c r="Y35" s="572"/>
      <c r="Z35" s="572"/>
      <c r="AB35" s="573"/>
    </row>
    <row r="36" spans="1:28" s="575" customFormat="1" ht="69.75">
      <c r="A36" s="689" t="s">
        <v>757</v>
      </c>
      <c r="B36" s="708" t="s">
        <v>1078</v>
      </c>
      <c r="C36" s="690" t="s">
        <v>47</v>
      </c>
      <c r="D36" s="709"/>
      <c r="E36" s="710"/>
      <c r="F36" s="710"/>
      <c r="G36" s="710"/>
      <c r="H36" s="690"/>
      <c r="I36" s="711"/>
      <c r="J36" s="711"/>
      <c r="K36" s="712">
        <v>561</v>
      </c>
      <c r="L36" s="715"/>
      <c r="M36" s="571"/>
      <c r="N36" s="588"/>
      <c r="O36" s="588"/>
      <c r="P36" s="589"/>
      <c r="Q36" s="572"/>
      <c r="R36" s="573"/>
      <c r="S36" s="574"/>
      <c r="T36" s="574"/>
      <c r="U36" s="574"/>
      <c r="V36" s="574"/>
      <c r="W36" s="574"/>
      <c r="X36" s="572"/>
      <c r="Y36" s="572"/>
      <c r="Z36" s="572"/>
      <c r="AB36" s="573"/>
    </row>
    <row r="37" spans="1:28" s="575" customFormat="1">
      <c r="A37" s="695"/>
      <c r="B37" s="696"/>
      <c r="C37" s="697"/>
      <c r="D37" s="698"/>
      <c r="E37" s="699"/>
      <c r="F37" s="700"/>
      <c r="G37" s="701">
        <v>0.1</v>
      </c>
      <c r="H37" s="493">
        <v>4488</v>
      </c>
      <c r="I37" s="493">
        <v>561</v>
      </c>
      <c r="J37" s="550"/>
      <c r="K37" s="485"/>
      <c r="L37" s="715"/>
      <c r="M37" s="571"/>
      <c r="N37" s="588"/>
      <c r="O37" s="588"/>
      <c r="P37" s="589"/>
      <c r="Q37" s="572"/>
      <c r="R37" s="573"/>
      <c r="S37" s="574"/>
      <c r="T37" s="574"/>
      <c r="U37" s="574"/>
      <c r="V37" s="574"/>
      <c r="W37" s="574"/>
      <c r="X37" s="572"/>
      <c r="Y37" s="572"/>
      <c r="Z37" s="572"/>
      <c r="AB37" s="573"/>
    </row>
    <row r="38" spans="1:28" s="575" customFormat="1">
      <c r="A38" s="695"/>
      <c r="B38" s="696"/>
      <c r="C38" s="697"/>
      <c r="D38" s="698"/>
      <c r="E38" s="699"/>
      <c r="F38" s="700"/>
      <c r="G38" s="701"/>
      <c r="H38" s="493"/>
      <c r="I38" s="493"/>
      <c r="J38" s="550"/>
      <c r="K38" s="485"/>
      <c r="L38" s="715"/>
      <c r="M38" s="571"/>
      <c r="N38" s="588"/>
      <c r="O38" s="588"/>
      <c r="P38" s="589"/>
      <c r="Q38" s="572"/>
      <c r="R38" s="573"/>
      <c r="S38" s="574"/>
      <c r="T38" s="574"/>
      <c r="U38" s="574"/>
      <c r="V38" s="574"/>
      <c r="W38" s="574"/>
      <c r="X38" s="572"/>
      <c r="Y38" s="572"/>
      <c r="Z38" s="572"/>
      <c r="AB38" s="573"/>
    </row>
    <row r="39" spans="1:28" s="575" customFormat="1">
      <c r="A39" s="695"/>
      <c r="B39" s="696">
        <v>1.25</v>
      </c>
      <c r="C39" s="697"/>
      <c r="D39" s="698"/>
      <c r="E39" s="699"/>
      <c r="F39" s="700"/>
      <c r="G39" s="701"/>
      <c r="H39" s="493"/>
      <c r="I39" s="493"/>
      <c r="J39" s="550"/>
      <c r="K39" s="485"/>
      <c r="L39" s="715"/>
      <c r="M39" s="571"/>
      <c r="N39" s="588"/>
      <c r="O39" s="588"/>
      <c r="P39" s="589"/>
      <c r="Q39" s="572"/>
      <c r="R39" s="573"/>
      <c r="S39" s="574"/>
      <c r="T39" s="574"/>
      <c r="U39" s="574"/>
      <c r="V39" s="574"/>
      <c r="W39" s="574"/>
      <c r="X39" s="572"/>
      <c r="Y39" s="572"/>
      <c r="Z39" s="572"/>
      <c r="AB39" s="573"/>
    </row>
    <row r="40" spans="1:28" s="575" customFormat="1" ht="46.5">
      <c r="A40" s="752" t="s">
        <v>758</v>
      </c>
      <c r="B40" s="751" t="s">
        <v>51</v>
      </c>
      <c r="C40" s="751" t="s">
        <v>684</v>
      </c>
      <c r="D40" s="744"/>
      <c r="E40" s="745"/>
      <c r="F40" s="746"/>
      <c r="G40" s="747"/>
      <c r="H40" s="748"/>
      <c r="I40" s="748"/>
      <c r="J40" s="749"/>
      <c r="K40" s="750">
        <f>+I41</f>
        <v>6732</v>
      </c>
      <c r="L40" s="715"/>
      <c r="M40" s="571"/>
      <c r="N40" s="588"/>
      <c r="O40" s="588"/>
      <c r="P40" s="589"/>
      <c r="Q40" s="572"/>
      <c r="R40" s="573"/>
      <c r="S40" s="574"/>
      <c r="T40" s="574"/>
      <c r="U40" s="574"/>
      <c r="V40" s="574"/>
      <c r="W40" s="574"/>
      <c r="X40" s="572"/>
      <c r="Y40" s="572"/>
      <c r="Z40" s="572"/>
      <c r="AB40" s="573"/>
    </row>
    <row r="41" spans="1:28" s="575" customFormat="1">
      <c r="A41" s="753"/>
      <c r="B41" s="696" t="s">
        <v>1079</v>
      </c>
      <c r="C41" s="551"/>
      <c r="D41" s="698"/>
      <c r="E41" s="699"/>
      <c r="F41" s="700"/>
      <c r="G41" s="701"/>
      <c r="H41" s="493"/>
      <c r="I41" s="493">
        <v>6732</v>
      </c>
      <c r="J41" s="550"/>
      <c r="K41" s="485"/>
      <c r="L41" s="715"/>
      <c r="M41" s="571"/>
      <c r="N41" s="588"/>
      <c r="O41" s="588"/>
      <c r="P41" s="589"/>
      <c r="Q41" s="572"/>
      <c r="R41" s="573"/>
      <c r="S41" s="574"/>
      <c r="T41" s="574"/>
      <c r="U41" s="574"/>
      <c r="V41" s="574"/>
      <c r="W41" s="574"/>
      <c r="X41" s="572"/>
      <c r="Y41" s="572"/>
      <c r="Z41" s="572"/>
      <c r="AB41" s="573"/>
    </row>
    <row r="42" spans="1:28" s="575" customFormat="1">
      <c r="A42" s="753"/>
      <c r="B42" s="696"/>
      <c r="C42" s="551"/>
      <c r="D42" s="698"/>
      <c r="E42" s="699"/>
      <c r="F42" s="700"/>
      <c r="G42" s="701"/>
      <c r="H42" s="493"/>
      <c r="I42" s="493"/>
      <c r="J42" s="550"/>
      <c r="K42" s="485"/>
      <c r="L42" s="715"/>
      <c r="M42" s="571"/>
      <c r="N42" s="588"/>
      <c r="O42" s="588"/>
      <c r="P42" s="589"/>
      <c r="Q42" s="572"/>
      <c r="R42" s="573"/>
      <c r="S42" s="574"/>
      <c r="T42" s="574"/>
      <c r="U42" s="574"/>
      <c r="V42" s="574"/>
      <c r="W42" s="574"/>
      <c r="X42" s="572"/>
      <c r="Y42" s="572"/>
      <c r="Z42" s="572"/>
      <c r="AB42" s="573"/>
    </row>
    <row r="43" spans="1:28" s="575" customFormat="1">
      <c r="A43" s="753"/>
      <c r="B43" s="696">
        <v>12</v>
      </c>
      <c r="C43" s="551"/>
      <c r="D43" s="698"/>
      <c r="E43" s="699"/>
      <c r="F43" s="700"/>
      <c r="G43" s="701"/>
      <c r="H43" s="493"/>
      <c r="I43" s="493"/>
      <c r="J43" s="550"/>
      <c r="K43" s="485"/>
      <c r="L43" s="715"/>
      <c r="M43" s="571"/>
      <c r="N43" s="588"/>
      <c r="O43" s="588"/>
      <c r="P43" s="589"/>
      <c r="Q43" s="572"/>
      <c r="R43" s="573"/>
      <c r="S43" s="574"/>
      <c r="T43" s="574"/>
      <c r="U43" s="574"/>
      <c r="V43" s="574"/>
      <c r="W43" s="574"/>
      <c r="X43" s="572"/>
      <c r="Y43" s="572"/>
      <c r="Z43" s="572"/>
      <c r="AB43" s="573"/>
    </row>
    <row r="44" spans="1:28" s="575" customFormat="1" ht="55.5" customHeight="1">
      <c r="A44" s="775" t="s">
        <v>1048</v>
      </c>
      <c r="B44" s="776" t="s">
        <v>667</v>
      </c>
      <c r="C44" s="754"/>
      <c r="D44" s="755"/>
      <c r="E44" s="756"/>
      <c r="F44" s="757"/>
      <c r="G44" s="758"/>
      <c r="H44" s="759"/>
      <c r="I44" s="759"/>
      <c r="J44" s="760"/>
      <c r="K44" s="761"/>
      <c r="L44" s="715"/>
      <c r="M44" s="571"/>
      <c r="N44" s="588"/>
      <c r="O44" s="588"/>
      <c r="P44" s="589"/>
      <c r="Q44" s="572"/>
      <c r="R44" s="573"/>
      <c r="S44" s="574"/>
      <c r="T44" s="574"/>
      <c r="U44" s="574"/>
      <c r="V44" s="574"/>
      <c r="W44" s="574"/>
      <c r="X44" s="572"/>
      <c r="Y44" s="572"/>
      <c r="Z44" s="572"/>
      <c r="AB44" s="573"/>
    </row>
    <row r="45" spans="1:28" s="575" customFormat="1" ht="59.25" customHeight="1">
      <c r="A45" s="752" t="s">
        <v>1049</v>
      </c>
      <c r="B45" s="769" t="s">
        <v>138</v>
      </c>
      <c r="C45" s="770" t="s">
        <v>154</v>
      </c>
      <c r="D45" s="763"/>
      <c r="E45" s="764"/>
      <c r="F45" s="765"/>
      <c r="G45" s="766"/>
      <c r="H45" s="767"/>
      <c r="I45" s="767"/>
      <c r="J45" s="768"/>
      <c r="K45" s="762">
        <f>+D46</f>
        <v>3</v>
      </c>
      <c r="L45" s="715"/>
      <c r="M45" s="571"/>
      <c r="N45" s="588"/>
      <c r="O45" s="588"/>
      <c r="P45" s="589"/>
      <c r="Q45" s="572"/>
      <c r="R45" s="573"/>
      <c r="S45" s="574"/>
      <c r="T45" s="574"/>
      <c r="U45" s="574"/>
      <c r="V45" s="574"/>
      <c r="W45" s="574"/>
      <c r="X45" s="572"/>
      <c r="Y45" s="572"/>
      <c r="Z45" s="572"/>
      <c r="AB45" s="573"/>
    </row>
    <row r="46" spans="1:28" s="575" customFormat="1">
      <c r="A46" s="695"/>
      <c r="B46" s="696" t="s">
        <v>1047</v>
      </c>
      <c r="C46" s="551"/>
      <c r="D46" s="698">
        <v>3</v>
      </c>
      <c r="E46" s="699"/>
      <c r="F46" s="700"/>
      <c r="G46" s="701"/>
      <c r="H46" s="493"/>
      <c r="I46" s="493"/>
      <c r="J46" s="550"/>
      <c r="K46" s="485"/>
      <c r="L46" s="715"/>
      <c r="M46" s="571"/>
      <c r="N46" s="588"/>
      <c r="O46" s="588"/>
      <c r="P46" s="589"/>
      <c r="Q46" s="572"/>
      <c r="R46" s="573"/>
      <c r="S46" s="574"/>
      <c r="T46" s="574"/>
      <c r="U46" s="574"/>
      <c r="V46" s="574"/>
      <c r="W46" s="574"/>
      <c r="X46" s="572"/>
      <c r="Y46" s="572"/>
      <c r="Z46" s="572"/>
      <c r="AB46" s="573"/>
    </row>
    <row r="47" spans="1:28" s="575" customFormat="1">
      <c r="A47" s="695"/>
      <c r="B47" s="696"/>
      <c r="C47" s="551"/>
      <c r="D47" s="698"/>
      <c r="E47" s="699"/>
      <c r="F47" s="700"/>
      <c r="G47" s="701"/>
      <c r="H47" s="493"/>
      <c r="I47" s="493"/>
      <c r="J47" s="550"/>
      <c r="K47" s="485"/>
      <c r="L47" s="715"/>
      <c r="M47" s="571"/>
      <c r="N47" s="588"/>
      <c r="O47" s="588"/>
      <c r="P47" s="589"/>
      <c r="Q47" s="572"/>
      <c r="R47" s="573"/>
      <c r="S47" s="574"/>
      <c r="T47" s="574"/>
      <c r="U47" s="574"/>
      <c r="V47" s="574"/>
      <c r="W47" s="574"/>
      <c r="X47" s="572"/>
      <c r="Y47" s="572"/>
      <c r="Z47" s="572"/>
      <c r="AB47" s="573"/>
    </row>
    <row r="48" spans="1:28" s="575" customFormat="1">
      <c r="A48" s="695"/>
      <c r="B48" s="696"/>
      <c r="C48" s="551"/>
      <c r="D48" s="698"/>
      <c r="E48" s="699"/>
      <c r="F48" s="700"/>
      <c r="G48" s="701"/>
      <c r="H48" s="493"/>
      <c r="I48" s="493"/>
      <c r="J48" s="550"/>
      <c r="K48" s="485"/>
      <c r="L48" s="715"/>
      <c r="M48" s="571"/>
      <c r="N48" s="588"/>
      <c r="O48" s="588"/>
      <c r="P48" s="589"/>
      <c r="Q48" s="572"/>
      <c r="R48" s="573"/>
      <c r="S48" s="574"/>
      <c r="T48" s="574"/>
      <c r="U48" s="574"/>
      <c r="V48" s="574"/>
      <c r="W48" s="574"/>
      <c r="X48" s="572"/>
      <c r="Y48" s="572"/>
      <c r="Z48" s="572"/>
      <c r="AB48" s="573"/>
    </row>
    <row r="49" spans="1:28" s="575" customFormat="1" ht="70.5" customHeight="1">
      <c r="A49" s="752" t="s">
        <v>1050</v>
      </c>
      <c r="B49" s="743" t="s">
        <v>1070</v>
      </c>
      <c r="C49" s="769" t="s">
        <v>1071</v>
      </c>
      <c r="D49" s="763"/>
      <c r="E49" s="764"/>
      <c r="F49" s="765"/>
      <c r="G49" s="766"/>
      <c r="H49" s="767"/>
      <c r="I49" s="767"/>
      <c r="J49" s="768"/>
      <c r="K49" s="762">
        <f>+D50</f>
        <v>2</v>
      </c>
      <c r="L49" s="715"/>
      <c r="M49" s="571"/>
      <c r="N49" s="588"/>
      <c r="O49" s="588"/>
      <c r="P49" s="589"/>
      <c r="Q49" s="572"/>
      <c r="R49" s="573"/>
      <c r="S49" s="574"/>
      <c r="T49" s="574"/>
      <c r="U49" s="574"/>
      <c r="V49" s="574"/>
      <c r="W49" s="574"/>
      <c r="X49" s="572"/>
      <c r="Y49" s="572"/>
      <c r="Z49" s="572"/>
      <c r="AB49" s="573"/>
    </row>
    <row r="50" spans="1:28" s="575" customFormat="1">
      <c r="A50" s="695"/>
      <c r="B50" s="696" t="s">
        <v>1055</v>
      </c>
      <c r="C50" s="551"/>
      <c r="D50" s="698">
        <v>2</v>
      </c>
      <c r="E50" s="699"/>
      <c r="F50" s="700"/>
      <c r="G50" s="701"/>
      <c r="H50" s="493"/>
      <c r="I50" s="493"/>
      <c r="J50" s="550"/>
      <c r="K50" s="485"/>
      <c r="L50" s="715"/>
      <c r="M50" s="571"/>
      <c r="N50" s="588"/>
      <c r="O50" s="588"/>
      <c r="P50" s="589"/>
      <c r="Q50" s="572"/>
      <c r="R50" s="573"/>
      <c r="S50" s="574"/>
      <c r="T50" s="574"/>
      <c r="U50" s="574"/>
      <c r="V50" s="574"/>
      <c r="W50" s="574"/>
      <c r="X50" s="572"/>
      <c r="Y50" s="572"/>
      <c r="Z50" s="572"/>
      <c r="AB50" s="573"/>
    </row>
    <row r="51" spans="1:28" s="575" customFormat="1">
      <c r="A51" s="695"/>
      <c r="B51" s="696"/>
      <c r="C51" s="551"/>
      <c r="D51" s="698"/>
      <c r="E51" s="699"/>
      <c r="F51" s="700"/>
      <c r="G51" s="701"/>
      <c r="H51" s="493"/>
      <c r="I51" s="493"/>
      <c r="J51" s="550"/>
      <c r="K51" s="485"/>
      <c r="L51" s="715"/>
      <c r="M51" s="571"/>
      <c r="N51" s="588"/>
      <c r="O51" s="588"/>
      <c r="P51" s="589"/>
      <c r="Q51" s="572"/>
      <c r="R51" s="573"/>
      <c r="S51" s="574"/>
      <c r="T51" s="574"/>
      <c r="U51" s="574"/>
      <c r="V51" s="574"/>
      <c r="W51" s="574"/>
      <c r="X51" s="572"/>
      <c r="Y51" s="572"/>
      <c r="Z51" s="572"/>
      <c r="AB51" s="573"/>
    </row>
    <row r="52" spans="1:28" s="575" customFormat="1">
      <c r="A52" s="695"/>
      <c r="B52" s="696"/>
      <c r="C52" s="551"/>
      <c r="D52" s="698"/>
      <c r="E52" s="699"/>
      <c r="F52" s="700"/>
      <c r="G52" s="701"/>
      <c r="H52" s="493"/>
      <c r="I52" s="493"/>
      <c r="J52" s="550"/>
      <c r="K52" s="485"/>
      <c r="L52" s="715"/>
      <c r="M52" s="571"/>
      <c r="N52" s="588"/>
      <c r="O52" s="588"/>
      <c r="P52" s="589"/>
      <c r="Q52" s="572"/>
      <c r="R52" s="573"/>
      <c r="S52" s="574"/>
      <c r="T52" s="574"/>
      <c r="U52" s="574"/>
      <c r="V52" s="574"/>
      <c r="W52" s="574"/>
      <c r="X52" s="572"/>
      <c r="Y52" s="572"/>
      <c r="Z52" s="572"/>
      <c r="AB52" s="573"/>
    </row>
    <row r="53" spans="1:28" s="575" customFormat="1">
      <c r="A53" s="695"/>
      <c r="B53" s="696"/>
      <c r="C53" s="551"/>
      <c r="D53" s="698"/>
      <c r="E53" s="699"/>
      <c r="F53" s="700"/>
      <c r="G53" s="701"/>
      <c r="H53" s="493"/>
      <c r="I53" s="493"/>
      <c r="J53" s="550"/>
      <c r="K53" s="485"/>
      <c r="L53" s="715"/>
      <c r="M53" s="571"/>
      <c r="N53" s="588"/>
      <c r="O53" s="588"/>
      <c r="P53" s="589"/>
      <c r="Q53" s="572"/>
      <c r="R53" s="573"/>
      <c r="S53" s="574"/>
      <c r="T53" s="574"/>
      <c r="U53" s="574"/>
      <c r="V53" s="574"/>
      <c r="W53" s="574"/>
      <c r="X53" s="572"/>
      <c r="Y53" s="572"/>
      <c r="Z53" s="572"/>
      <c r="AB53" s="573"/>
    </row>
    <row r="54" spans="1:28" s="575" customFormat="1" ht="86.25" customHeight="1">
      <c r="A54" s="752" t="s">
        <v>1056</v>
      </c>
      <c r="B54" s="743" t="s">
        <v>1080</v>
      </c>
      <c r="C54" s="769" t="s">
        <v>45</v>
      </c>
      <c r="D54" s="763"/>
      <c r="E54" s="764"/>
      <c r="F54" s="765"/>
      <c r="G54" s="766"/>
      <c r="H54" s="767"/>
      <c r="I54" s="767"/>
      <c r="J54" s="768"/>
      <c r="K54" s="711">
        <f>+H55</f>
        <v>359.4</v>
      </c>
      <c r="L54" s="715"/>
      <c r="M54" s="571"/>
      <c r="N54" s="588"/>
      <c r="O54" s="588"/>
      <c r="P54" s="589"/>
      <c r="Q54" s="572"/>
      <c r="R54" s="573"/>
      <c r="S54" s="574"/>
      <c r="T54" s="574"/>
      <c r="U54" s="574"/>
      <c r="V54" s="574"/>
      <c r="W54" s="574"/>
      <c r="X54" s="572"/>
      <c r="Y54" s="572"/>
      <c r="Z54" s="572"/>
      <c r="AB54" s="573"/>
    </row>
    <row r="55" spans="1:28" s="575" customFormat="1">
      <c r="A55" s="695"/>
      <c r="B55" s="696" t="s">
        <v>1081</v>
      </c>
      <c r="C55" s="697"/>
      <c r="D55" s="698"/>
      <c r="E55" s="699">
        <v>599</v>
      </c>
      <c r="F55" s="700">
        <v>0.6</v>
      </c>
      <c r="G55" s="701"/>
      <c r="H55" s="493">
        <v>359.4</v>
      </c>
      <c r="I55" s="493"/>
      <c r="J55" s="550"/>
      <c r="K55" s="485"/>
      <c r="L55" s="715"/>
      <c r="M55" s="571"/>
      <c r="N55" s="588"/>
      <c r="O55" s="588"/>
      <c r="P55" s="589"/>
      <c r="Q55" s="572"/>
      <c r="R55" s="573"/>
      <c r="S55" s="574"/>
      <c r="T55" s="574"/>
      <c r="U55" s="574"/>
      <c r="V55" s="574"/>
      <c r="W55" s="574"/>
      <c r="X55" s="572"/>
      <c r="Y55" s="572"/>
      <c r="Z55" s="572"/>
      <c r="AB55" s="573"/>
    </row>
    <row r="56" spans="1:28" s="575" customFormat="1">
      <c r="A56" s="695"/>
      <c r="B56" s="696"/>
      <c r="C56" s="697"/>
      <c r="D56" s="698"/>
      <c r="E56" s="699"/>
      <c r="F56" s="700"/>
      <c r="G56" s="701"/>
      <c r="H56" s="493"/>
      <c r="I56" s="493"/>
      <c r="J56" s="550"/>
      <c r="K56" s="485"/>
      <c r="L56" s="715"/>
      <c r="M56" s="571"/>
      <c r="N56" s="588"/>
      <c r="O56" s="588"/>
      <c r="P56" s="589"/>
      <c r="Q56" s="572"/>
      <c r="R56" s="573"/>
      <c r="S56" s="574"/>
      <c r="T56" s="574"/>
      <c r="U56" s="574"/>
      <c r="V56" s="574"/>
      <c r="W56" s="574"/>
      <c r="X56" s="572"/>
      <c r="Y56" s="572"/>
      <c r="Z56" s="572"/>
      <c r="AB56" s="573"/>
    </row>
    <row r="57" spans="1:28" s="575" customFormat="1">
      <c r="A57" s="695"/>
      <c r="B57" s="696"/>
      <c r="C57" s="697"/>
      <c r="D57" s="698"/>
      <c r="E57" s="699"/>
      <c r="F57" s="700"/>
      <c r="G57" s="701"/>
      <c r="H57" s="493"/>
      <c r="I57" s="493"/>
      <c r="J57" s="550"/>
      <c r="K57" s="485"/>
      <c r="L57" s="715"/>
      <c r="M57" s="571"/>
      <c r="N57" s="588"/>
      <c r="O57" s="588"/>
      <c r="P57" s="589"/>
      <c r="Q57" s="572"/>
      <c r="R57" s="573"/>
      <c r="S57" s="574"/>
      <c r="T57" s="574"/>
      <c r="U57" s="574"/>
      <c r="V57" s="574"/>
      <c r="W57" s="574"/>
      <c r="X57" s="572"/>
      <c r="Y57" s="572"/>
      <c r="Z57" s="572"/>
      <c r="AB57" s="573"/>
    </row>
    <row r="58" spans="1:28" s="575" customFormat="1">
      <c r="A58" s="695"/>
      <c r="B58" s="696"/>
      <c r="C58" s="697"/>
      <c r="D58" s="698"/>
      <c r="E58" s="699"/>
      <c r="F58" s="700"/>
      <c r="G58" s="701"/>
      <c r="H58" s="493"/>
      <c r="I58" s="493"/>
      <c r="J58" s="550"/>
      <c r="K58" s="485"/>
      <c r="L58" s="715"/>
      <c r="M58" s="571"/>
      <c r="N58" s="588"/>
      <c r="O58" s="588"/>
      <c r="P58" s="589"/>
      <c r="Q58" s="572"/>
      <c r="R58" s="573"/>
      <c r="S58" s="574"/>
      <c r="T58" s="574"/>
      <c r="U58" s="574"/>
      <c r="V58" s="574"/>
      <c r="W58" s="574"/>
      <c r="X58" s="572"/>
      <c r="Y58" s="572"/>
      <c r="Z58" s="572"/>
      <c r="AB58" s="573"/>
    </row>
    <row r="59" spans="1:28" s="575" customFormat="1">
      <c r="A59" s="695"/>
      <c r="B59" s="696"/>
      <c r="C59" s="697"/>
      <c r="D59" s="698"/>
      <c r="E59" s="699"/>
      <c r="F59" s="700"/>
      <c r="G59" s="701"/>
      <c r="H59" s="493"/>
      <c r="I59" s="493"/>
      <c r="J59" s="550"/>
      <c r="K59" s="485"/>
      <c r="L59" s="715"/>
      <c r="M59" s="571"/>
      <c r="N59" s="588"/>
      <c r="O59" s="588"/>
      <c r="P59" s="589"/>
      <c r="Q59" s="572"/>
      <c r="R59" s="573"/>
      <c r="S59" s="574"/>
      <c r="T59" s="574"/>
      <c r="U59" s="574"/>
      <c r="V59" s="574"/>
      <c r="W59" s="574"/>
      <c r="X59" s="572"/>
      <c r="Y59" s="572"/>
      <c r="Z59" s="572"/>
      <c r="AB59" s="573"/>
    </row>
    <row r="60" spans="1:28" s="575" customFormat="1">
      <c r="A60" s="752" t="s">
        <v>1061</v>
      </c>
      <c r="B60" s="743" t="s">
        <v>1072</v>
      </c>
      <c r="C60" s="769" t="s">
        <v>45</v>
      </c>
      <c r="D60" s="763"/>
      <c r="E60" s="764"/>
      <c r="F60" s="765"/>
      <c r="G60" s="766"/>
      <c r="H60" s="767"/>
      <c r="I60" s="767"/>
      <c r="J60" s="768"/>
      <c r="K60" s="711">
        <f>+G61</f>
        <v>16</v>
      </c>
      <c r="L60" s="715"/>
      <c r="M60" s="571"/>
      <c r="N60" s="588"/>
      <c r="O60" s="588"/>
      <c r="P60" s="589"/>
      <c r="Q60" s="572"/>
      <c r="R60" s="573"/>
      <c r="S60" s="574"/>
      <c r="T60" s="574"/>
      <c r="U60" s="574"/>
      <c r="V60" s="574"/>
      <c r="W60" s="574"/>
      <c r="X60" s="572"/>
      <c r="Y60" s="572"/>
      <c r="Z60" s="572"/>
      <c r="AB60" s="573"/>
    </row>
    <row r="61" spans="1:28" s="575" customFormat="1">
      <c r="A61" s="695"/>
      <c r="B61" s="696"/>
      <c r="C61" s="697"/>
      <c r="D61" s="698"/>
      <c r="E61" s="699">
        <v>4</v>
      </c>
      <c r="F61" s="700">
        <v>4</v>
      </c>
      <c r="G61" s="701">
        <f>+F61*E61</f>
        <v>16</v>
      </c>
      <c r="H61" s="493"/>
      <c r="I61" s="493"/>
      <c r="J61" s="550"/>
      <c r="K61" s="485"/>
      <c r="L61" s="715"/>
      <c r="M61" s="571"/>
      <c r="N61" s="588"/>
      <c r="O61" s="588"/>
      <c r="P61" s="589"/>
      <c r="Q61" s="572"/>
      <c r="R61" s="573"/>
      <c r="S61" s="574"/>
      <c r="T61" s="574"/>
      <c r="U61" s="574"/>
      <c r="V61" s="574"/>
      <c r="W61" s="574"/>
      <c r="X61" s="572"/>
      <c r="Y61" s="572"/>
      <c r="Z61" s="572"/>
      <c r="AB61" s="573"/>
    </row>
    <row r="62" spans="1:28" s="575" customFormat="1">
      <c r="A62" s="695"/>
      <c r="B62" s="696"/>
      <c r="C62" s="697"/>
      <c r="D62" s="698"/>
      <c r="E62" s="699"/>
      <c r="F62" s="700"/>
      <c r="G62" s="701"/>
      <c r="H62" s="493"/>
      <c r="I62" s="493"/>
      <c r="J62" s="550"/>
      <c r="K62" s="485"/>
      <c r="L62" s="715"/>
      <c r="M62" s="571"/>
      <c r="N62" s="588"/>
      <c r="O62" s="588"/>
      <c r="P62" s="589"/>
      <c r="Q62" s="572"/>
      <c r="R62" s="573"/>
      <c r="S62" s="574"/>
      <c r="T62" s="574"/>
      <c r="U62" s="574"/>
      <c r="V62" s="574"/>
      <c r="W62" s="574"/>
      <c r="X62" s="572"/>
      <c r="Y62" s="572"/>
      <c r="Z62" s="572"/>
      <c r="AB62" s="573"/>
    </row>
    <row r="63" spans="1:28" s="575" customFormat="1">
      <c r="A63" s="695"/>
      <c r="B63" s="696"/>
      <c r="C63" s="697"/>
      <c r="D63" s="698"/>
      <c r="E63" s="699"/>
      <c r="F63" s="700"/>
      <c r="G63" s="701"/>
      <c r="H63" s="493"/>
      <c r="I63" s="493"/>
      <c r="J63" s="550"/>
      <c r="K63" s="485"/>
      <c r="L63" s="715"/>
      <c r="M63" s="571"/>
      <c r="N63" s="588"/>
      <c r="O63" s="588"/>
      <c r="P63" s="589"/>
      <c r="Q63" s="572"/>
      <c r="R63" s="573"/>
      <c r="S63" s="574"/>
      <c r="T63" s="574"/>
      <c r="U63" s="574"/>
      <c r="V63" s="574"/>
      <c r="W63" s="574"/>
      <c r="X63" s="572"/>
      <c r="Y63" s="572"/>
      <c r="Z63" s="572"/>
      <c r="AB63" s="573"/>
    </row>
    <row r="64" spans="1:28" s="575" customFormat="1" ht="74.25" customHeight="1">
      <c r="A64" s="781" t="s">
        <v>6</v>
      </c>
      <c r="B64" s="782" t="s">
        <v>1073</v>
      </c>
      <c r="C64" s="782"/>
      <c r="D64" s="783"/>
      <c r="E64" s="784"/>
      <c r="F64" s="784"/>
      <c r="G64" s="785"/>
      <c r="H64" s="786"/>
      <c r="I64" s="786"/>
      <c r="J64" s="787"/>
      <c r="K64" s="788"/>
      <c r="L64" s="715"/>
      <c r="M64" s="571"/>
      <c r="N64" s="588"/>
      <c r="O64" s="588"/>
      <c r="P64" s="589"/>
      <c r="Q64" s="572"/>
      <c r="R64" s="573"/>
      <c r="S64" s="574"/>
      <c r="T64" s="574"/>
      <c r="U64" s="574"/>
      <c r="V64" s="574"/>
      <c r="W64" s="574"/>
      <c r="X64" s="572"/>
      <c r="Y64" s="572"/>
      <c r="Z64" s="572"/>
      <c r="AB64" s="573"/>
    </row>
    <row r="65" spans="1:28" s="575" customFormat="1" ht="49.5" customHeight="1">
      <c r="A65" s="752" t="s">
        <v>636</v>
      </c>
      <c r="B65" s="751" t="s">
        <v>1106</v>
      </c>
      <c r="C65" s="769" t="s">
        <v>47</v>
      </c>
      <c r="D65" s="763"/>
      <c r="E65" s="764"/>
      <c r="F65" s="764"/>
      <c r="G65" s="778"/>
      <c r="H65" s="779"/>
      <c r="I65" s="779"/>
      <c r="J65" s="780"/>
      <c r="K65" s="777">
        <f>+I66</f>
        <v>1507.68</v>
      </c>
      <c r="L65" s="715"/>
      <c r="M65" s="571"/>
      <c r="N65" s="588"/>
      <c r="O65" s="588"/>
      <c r="P65" s="589"/>
      <c r="Q65" s="572"/>
      <c r="R65" s="573"/>
      <c r="S65" s="574"/>
      <c r="T65" s="574"/>
      <c r="U65" s="574"/>
      <c r="V65" s="574"/>
      <c r="W65" s="574"/>
      <c r="X65" s="572"/>
      <c r="Y65" s="572"/>
      <c r="Z65" s="572"/>
      <c r="AB65" s="573"/>
    </row>
    <row r="66" spans="1:28" s="575" customFormat="1">
      <c r="A66" s="695"/>
      <c r="B66" s="696" t="s">
        <v>1082</v>
      </c>
      <c r="C66" s="697"/>
      <c r="D66" s="698"/>
      <c r="E66" s="699">
        <v>240</v>
      </c>
      <c r="F66" s="700">
        <v>20.94</v>
      </c>
      <c r="G66" s="701">
        <v>0.3</v>
      </c>
      <c r="H66" s="493">
        <v>5025.6000000000004</v>
      </c>
      <c r="I66" s="493">
        <v>1507.68</v>
      </c>
      <c r="J66" s="550"/>
      <c r="K66" s="485"/>
      <c r="L66" s="715"/>
      <c r="M66" s="571"/>
      <c r="N66" s="588"/>
      <c r="O66" s="588"/>
      <c r="P66" s="589"/>
      <c r="Q66" s="572"/>
      <c r="R66" s="573"/>
      <c r="S66" s="574"/>
      <c r="T66" s="574"/>
      <c r="U66" s="574"/>
      <c r="V66" s="574"/>
      <c r="W66" s="574"/>
      <c r="X66" s="572"/>
      <c r="Y66" s="572"/>
      <c r="Z66" s="572"/>
      <c r="AB66" s="573"/>
    </row>
    <row r="67" spans="1:28" s="575" customFormat="1">
      <c r="A67" s="695"/>
      <c r="B67" s="696"/>
      <c r="C67" s="697"/>
      <c r="D67" s="698"/>
      <c r="E67" s="699"/>
      <c r="F67" s="700"/>
      <c r="G67" s="701"/>
      <c r="H67" s="493"/>
      <c r="I67" s="493"/>
      <c r="J67" s="550"/>
      <c r="K67" s="485"/>
      <c r="L67" s="715"/>
      <c r="M67" s="571"/>
      <c r="N67" s="588"/>
      <c r="O67" s="588"/>
      <c r="P67" s="589"/>
      <c r="Q67" s="572"/>
      <c r="R67" s="573"/>
      <c r="S67" s="574"/>
      <c r="T67" s="574"/>
      <c r="U67" s="574"/>
      <c r="V67" s="574"/>
      <c r="W67" s="574"/>
      <c r="X67" s="572"/>
      <c r="Y67" s="572"/>
      <c r="Z67" s="572"/>
      <c r="AB67" s="573"/>
    </row>
    <row r="68" spans="1:28" s="575" customFormat="1">
      <c r="A68" s="695"/>
      <c r="B68" s="696"/>
      <c r="C68" s="697"/>
      <c r="D68" s="698"/>
      <c r="E68" s="699"/>
      <c r="F68" s="700"/>
      <c r="G68" s="701"/>
      <c r="H68" s="493"/>
      <c r="I68" s="493"/>
      <c r="J68" s="550"/>
      <c r="K68" s="485"/>
      <c r="L68" s="715"/>
      <c r="M68" s="571"/>
      <c r="N68" s="588"/>
      <c r="O68" s="588"/>
      <c r="P68" s="589"/>
      <c r="Q68" s="572"/>
      <c r="R68" s="573"/>
      <c r="S68" s="574"/>
      <c r="T68" s="574"/>
      <c r="U68" s="574"/>
      <c r="V68" s="574"/>
      <c r="W68" s="574"/>
      <c r="X68" s="572"/>
      <c r="Y68" s="572"/>
      <c r="Z68" s="572"/>
      <c r="AB68" s="573"/>
    </row>
    <row r="69" spans="1:28" s="575" customFormat="1" ht="46.5">
      <c r="A69" s="752" t="s">
        <v>637</v>
      </c>
      <c r="B69" s="751" t="s">
        <v>1057</v>
      </c>
      <c r="C69" s="769" t="s">
        <v>1058</v>
      </c>
      <c r="D69" s="763"/>
      <c r="E69" s="764"/>
      <c r="F69" s="764"/>
      <c r="G69" s="778"/>
      <c r="H69" s="779"/>
      <c r="I69" s="779"/>
      <c r="J69" s="780"/>
      <c r="K69" s="777">
        <f>+I70</f>
        <v>1507680</v>
      </c>
      <c r="L69" s="715"/>
      <c r="M69" s="571"/>
      <c r="N69" s="588"/>
      <c r="O69" s="588"/>
      <c r="P69" s="589"/>
      <c r="Q69" s="572"/>
      <c r="R69" s="573"/>
      <c r="S69" s="574"/>
      <c r="T69" s="574"/>
      <c r="U69" s="574"/>
      <c r="V69" s="574"/>
      <c r="W69" s="574"/>
      <c r="X69" s="572"/>
      <c r="Y69" s="572"/>
      <c r="Z69" s="572"/>
      <c r="AB69" s="573"/>
    </row>
    <row r="70" spans="1:28" s="575" customFormat="1">
      <c r="A70" s="753"/>
      <c r="B70" s="789" t="s">
        <v>1068</v>
      </c>
      <c r="C70" s="790"/>
      <c r="D70" s="791"/>
      <c r="E70" s="792"/>
      <c r="F70" s="792"/>
      <c r="G70" s="793"/>
      <c r="H70" s="794"/>
      <c r="I70" s="794">
        <v>1507680</v>
      </c>
      <c r="J70" s="795"/>
      <c r="K70" s="796">
        <v>0</v>
      </c>
      <c r="L70" s="715"/>
      <c r="M70" s="571"/>
      <c r="N70" s="588"/>
      <c r="O70" s="588"/>
      <c r="P70" s="589"/>
      <c r="Q70" s="572"/>
      <c r="R70" s="573"/>
      <c r="S70" s="574"/>
      <c r="T70" s="574"/>
      <c r="U70" s="574"/>
      <c r="V70" s="574"/>
      <c r="W70" s="574"/>
      <c r="X70" s="572"/>
      <c r="Y70" s="572"/>
      <c r="Z70" s="572"/>
      <c r="AB70" s="573"/>
    </row>
    <row r="71" spans="1:28" s="575" customFormat="1">
      <c r="A71" s="695"/>
      <c r="B71" s="696"/>
      <c r="C71" s="697"/>
      <c r="D71" s="698"/>
      <c r="E71" s="699"/>
      <c r="F71" s="700"/>
      <c r="G71" s="701"/>
      <c r="H71" s="493"/>
      <c r="I71" s="493"/>
      <c r="J71" s="550"/>
      <c r="K71" s="485"/>
      <c r="L71" s="715"/>
      <c r="M71" s="571"/>
      <c r="N71" s="588"/>
      <c r="O71" s="588"/>
      <c r="P71" s="589"/>
      <c r="Q71" s="572"/>
      <c r="R71" s="573"/>
      <c r="S71" s="574"/>
      <c r="T71" s="574"/>
      <c r="U71" s="574"/>
      <c r="V71" s="574"/>
      <c r="W71" s="574"/>
      <c r="X71" s="572"/>
      <c r="Y71" s="572"/>
      <c r="Z71" s="572"/>
      <c r="AB71" s="573"/>
    </row>
    <row r="72" spans="1:28" s="575" customFormat="1">
      <c r="A72" s="695"/>
      <c r="B72" s="696"/>
      <c r="C72" s="697"/>
      <c r="D72" s="698"/>
      <c r="E72" s="699"/>
      <c r="F72" s="700"/>
      <c r="G72" s="701"/>
      <c r="H72" s="493"/>
      <c r="I72" s="493"/>
      <c r="J72" s="550"/>
      <c r="K72" s="485"/>
      <c r="L72" s="715"/>
      <c r="M72" s="571"/>
      <c r="N72" s="588"/>
      <c r="O72" s="588"/>
      <c r="P72" s="589"/>
      <c r="Q72" s="572"/>
      <c r="R72" s="573"/>
      <c r="S72" s="574"/>
      <c r="T72" s="574"/>
      <c r="U72" s="574"/>
      <c r="V72" s="574"/>
      <c r="W72" s="574"/>
      <c r="X72" s="572"/>
      <c r="Y72" s="572"/>
      <c r="Z72" s="572"/>
      <c r="AB72" s="573"/>
    </row>
    <row r="73" spans="1:28" s="575" customFormat="1">
      <c r="A73" s="695"/>
      <c r="B73" s="696">
        <v>1000</v>
      </c>
      <c r="C73" s="697"/>
      <c r="D73" s="698"/>
      <c r="E73" s="699"/>
      <c r="F73" s="700"/>
      <c r="G73" s="701"/>
      <c r="H73" s="493"/>
      <c r="I73" s="493"/>
      <c r="J73" s="550"/>
      <c r="K73" s="485"/>
      <c r="L73" s="715"/>
      <c r="M73" s="571"/>
      <c r="N73" s="588"/>
      <c r="O73" s="588"/>
      <c r="P73" s="589"/>
      <c r="Q73" s="572"/>
      <c r="R73" s="573"/>
      <c r="S73" s="574"/>
      <c r="T73" s="574"/>
      <c r="U73" s="574"/>
      <c r="V73" s="574"/>
      <c r="W73" s="574"/>
      <c r="X73" s="572"/>
      <c r="Y73" s="572"/>
      <c r="Z73" s="572"/>
      <c r="AB73" s="573"/>
    </row>
    <row r="74" spans="1:28" s="575" customFormat="1" ht="93">
      <c r="A74" s="752" t="s">
        <v>638</v>
      </c>
      <c r="B74" s="751" t="s">
        <v>1074</v>
      </c>
      <c r="C74" s="769" t="s">
        <v>47</v>
      </c>
      <c r="D74" s="763"/>
      <c r="E74" s="764"/>
      <c r="F74" s="764"/>
      <c r="G74" s="778"/>
      <c r="H74" s="779"/>
      <c r="I74" s="779"/>
      <c r="J74" s="780"/>
      <c r="K74" s="777">
        <f>+I75</f>
        <v>1884.6000000000001</v>
      </c>
      <c r="L74" s="715"/>
      <c r="M74" s="571"/>
      <c r="N74" s="588"/>
      <c r="O74" s="588"/>
      <c r="P74" s="589"/>
      <c r="Q74" s="572"/>
      <c r="R74" s="573"/>
      <c r="S74" s="574"/>
      <c r="T74" s="574"/>
      <c r="U74" s="574"/>
      <c r="V74" s="574"/>
      <c r="W74" s="574"/>
      <c r="X74" s="572"/>
      <c r="Y74" s="572"/>
      <c r="Z74" s="572"/>
      <c r="AB74" s="573"/>
    </row>
    <row r="75" spans="1:28" s="575" customFormat="1">
      <c r="A75" s="753"/>
      <c r="B75" s="789"/>
      <c r="C75" s="790"/>
      <c r="D75" s="791"/>
      <c r="E75" s="792"/>
      <c r="F75" s="792"/>
      <c r="G75" s="793"/>
      <c r="H75" s="794"/>
      <c r="I75" s="794">
        <v>1884.6000000000001</v>
      </c>
      <c r="J75" s="795"/>
      <c r="K75" s="796"/>
      <c r="L75" s="715"/>
      <c r="M75" s="571"/>
      <c r="N75" s="588"/>
      <c r="O75" s="588"/>
      <c r="P75" s="589"/>
      <c r="Q75" s="572"/>
      <c r="R75" s="573"/>
      <c r="S75" s="574"/>
      <c r="T75" s="574"/>
      <c r="U75" s="574"/>
      <c r="V75" s="574"/>
      <c r="W75" s="574"/>
      <c r="X75" s="572"/>
      <c r="Y75" s="572"/>
      <c r="Z75" s="572"/>
      <c r="AB75" s="573"/>
    </row>
    <row r="76" spans="1:28" s="575" customFormat="1">
      <c r="A76" s="695"/>
      <c r="B76" s="696">
        <v>1.25</v>
      </c>
      <c r="C76" s="697"/>
      <c r="D76" s="698"/>
      <c r="E76" s="699"/>
      <c r="F76" s="700"/>
      <c r="G76" s="701"/>
      <c r="H76" s="493"/>
      <c r="I76" s="493"/>
      <c r="J76" s="550"/>
      <c r="K76" s="485"/>
      <c r="L76" s="715"/>
      <c r="M76" s="571"/>
      <c r="N76" s="588"/>
      <c r="O76" s="588"/>
      <c r="P76" s="589"/>
      <c r="Q76" s="572"/>
      <c r="R76" s="573"/>
      <c r="S76" s="574"/>
      <c r="T76" s="574"/>
      <c r="U76" s="574"/>
      <c r="V76" s="574"/>
      <c r="W76" s="574"/>
      <c r="X76" s="572"/>
      <c r="Y76" s="572"/>
      <c r="Z76" s="572"/>
      <c r="AB76" s="573"/>
    </row>
    <row r="77" spans="1:28" s="575" customFormat="1" ht="46.5">
      <c r="A77" s="752" t="s">
        <v>1062</v>
      </c>
      <c r="B77" s="751" t="s">
        <v>51</v>
      </c>
      <c r="C77" s="769" t="s">
        <v>684</v>
      </c>
      <c r="D77" s="763"/>
      <c r="E77" s="764"/>
      <c r="F77" s="764"/>
      <c r="G77" s="778"/>
      <c r="H77" s="779"/>
      <c r="I77" s="779"/>
      <c r="J77" s="780"/>
      <c r="K77" s="777">
        <f>+I78</f>
        <v>22615.200000000001</v>
      </c>
      <c r="L77" s="715"/>
      <c r="M77" s="571"/>
      <c r="N77" s="588"/>
      <c r="O77" s="588"/>
      <c r="P77" s="589"/>
      <c r="Q77" s="572"/>
      <c r="R77" s="573"/>
      <c r="S77" s="574"/>
      <c r="T77" s="574"/>
      <c r="U77" s="574"/>
      <c r="V77" s="574"/>
      <c r="W77" s="574"/>
      <c r="X77" s="572"/>
      <c r="Y77" s="572"/>
      <c r="Z77" s="572"/>
      <c r="AB77" s="573"/>
    </row>
    <row r="78" spans="1:28" s="575" customFormat="1">
      <c r="A78" s="753"/>
      <c r="B78" s="789"/>
      <c r="C78" s="790"/>
      <c r="D78" s="791"/>
      <c r="E78" s="792"/>
      <c r="F78" s="792"/>
      <c r="G78" s="793"/>
      <c r="H78" s="794"/>
      <c r="I78" s="794">
        <v>22615.200000000001</v>
      </c>
      <c r="J78" s="795"/>
      <c r="K78" s="796"/>
      <c r="L78" s="715"/>
      <c r="M78" s="571"/>
      <c r="N78" s="588"/>
      <c r="O78" s="588"/>
      <c r="P78" s="589"/>
      <c r="Q78" s="572"/>
      <c r="R78" s="573"/>
      <c r="S78" s="574"/>
      <c r="T78" s="574"/>
      <c r="U78" s="574"/>
      <c r="V78" s="574"/>
      <c r="W78" s="574"/>
      <c r="X78" s="572"/>
      <c r="Y78" s="572"/>
      <c r="Z78" s="572"/>
      <c r="AB78" s="573"/>
    </row>
    <row r="79" spans="1:28" s="575" customFormat="1">
      <c r="A79" s="695"/>
      <c r="B79" s="696">
        <v>12</v>
      </c>
      <c r="C79" s="697"/>
      <c r="D79" s="698"/>
      <c r="E79" s="699"/>
      <c r="F79" s="700"/>
      <c r="G79" s="701"/>
      <c r="H79" s="493"/>
      <c r="I79" s="493"/>
      <c r="J79" s="550"/>
      <c r="K79" s="485"/>
      <c r="L79" s="715"/>
      <c r="M79" s="571"/>
      <c r="N79" s="588"/>
      <c r="O79" s="588"/>
      <c r="P79" s="589"/>
      <c r="Q79" s="572"/>
      <c r="R79" s="573"/>
      <c r="S79" s="574"/>
      <c r="T79" s="574"/>
      <c r="U79" s="574"/>
      <c r="V79" s="574"/>
      <c r="W79" s="574"/>
      <c r="X79" s="572"/>
      <c r="Y79" s="572"/>
      <c r="Z79" s="572"/>
      <c r="AB79" s="573"/>
    </row>
    <row r="80" spans="1:28" s="575" customFormat="1">
      <c r="A80" s="695"/>
      <c r="B80" s="696"/>
      <c r="C80" s="697"/>
      <c r="D80" s="698"/>
      <c r="E80" s="699"/>
      <c r="F80" s="700"/>
      <c r="G80" s="701"/>
      <c r="H80" s="493"/>
      <c r="I80" s="493"/>
      <c r="J80" s="550"/>
      <c r="K80" s="485"/>
      <c r="L80" s="715"/>
      <c r="M80" s="571"/>
      <c r="N80" s="588"/>
      <c r="O80" s="588"/>
      <c r="P80" s="589"/>
      <c r="Q80" s="572"/>
      <c r="R80" s="573"/>
      <c r="S80" s="574"/>
      <c r="T80" s="574"/>
      <c r="U80" s="574"/>
      <c r="V80" s="574"/>
      <c r="W80" s="574"/>
      <c r="X80" s="572"/>
      <c r="Y80" s="572"/>
      <c r="Z80" s="572"/>
      <c r="AB80" s="573"/>
    </row>
    <row r="81" spans="1:28" s="575" customFormat="1" ht="72" customHeight="1">
      <c r="A81" s="781" t="s">
        <v>10</v>
      </c>
      <c r="B81" s="782" t="s">
        <v>763</v>
      </c>
      <c r="C81" s="782"/>
      <c r="D81" s="783"/>
      <c r="E81" s="784"/>
      <c r="F81" s="784"/>
      <c r="G81" s="785"/>
      <c r="H81" s="786"/>
      <c r="I81" s="786"/>
      <c r="J81" s="787"/>
      <c r="K81" s="788"/>
      <c r="L81" s="715"/>
      <c r="M81" s="571"/>
      <c r="N81" s="588"/>
      <c r="O81" s="588"/>
      <c r="P81" s="589"/>
      <c r="Q81" s="572"/>
      <c r="R81" s="573"/>
      <c r="S81" s="574"/>
      <c r="T81" s="574"/>
      <c r="U81" s="574"/>
      <c r="V81" s="574"/>
      <c r="W81" s="574"/>
      <c r="X81" s="572"/>
      <c r="Y81" s="572"/>
      <c r="Z81" s="572"/>
      <c r="AB81" s="573"/>
    </row>
    <row r="82" spans="1:28" s="575" customFormat="1" ht="63" customHeight="1">
      <c r="A82" s="752" t="s">
        <v>11</v>
      </c>
      <c r="B82" s="751" t="s">
        <v>1083</v>
      </c>
      <c r="C82" s="769" t="s">
        <v>44</v>
      </c>
      <c r="D82" s="763"/>
      <c r="E82" s="764"/>
      <c r="F82" s="764"/>
      <c r="G82" s="778"/>
      <c r="H82" s="779"/>
      <c r="I82" s="779"/>
      <c r="J82" s="780"/>
      <c r="K82" s="777">
        <f>+K83</f>
        <v>16</v>
      </c>
      <c r="L82" s="715"/>
      <c r="M82" s="571"/>
      <c r="N82" s="588"/>
      <c r="O82" s="588"/>
      <c r="P82" s="589"/>
      <c r="Q82" s="572"/>
      <c r="R82" s="573"/>
      <c r="S82" s="574"/>
      <c r="T82" s="574"/>
      <c r="U82" s="574"/>
      <c r="V82" s="574"/>
      <c r="W82" s="574"/>
      <c r="X82" s="572"/>
      <c r="Y82" s="572"/>
      <c r="Z82" s="572"/>
      <c r="AB82" s="573"/>
    </row>
    <row r="83" spans="1:28" s="575" customFormat="1">
      <c r="A83" s="695"/>
      <c r="B83" s="696" t="s">
        <v>1084</v>
      </c>
      <c r="C83" s="697"/>
      <c r="D83" s="698"/>
      <c r="E83" s="699">
        <v>16</v>
      </c>
      <c r="F83" s="700"/>
      <c r="G83" s="701"/>
      <c r="H83" s="493"/>
      <c r="I83" s="493"/>
      <c r="J83" s="550"/>
      <c r="K83" s="485">
        <v>16</v>
      </c>
      <c r="L83" s="715"/>
      <c r="M83" s="571"/>
      <c r="N83" s="588"/>
      <c r="O83" s="588"/>
      <c r="P83" s="589"/>
      <c r="Q83" s="572"/>
      <c r="R83" s="573"/>
      <c r="S83" s="574"/>
      <c r="T83" s="574"/>
      <c r="U83" s="574"/>
      <c r="V83" s="574"/>
      <c r="W83" s="574"/>
      <c r="X83" s="572"/>
      <c r="Y83" s="572"/>
      <c r="Z83" s="572"/>
      <c r="AB83" s="573"/>
    </row>
    <row r="84" spans="1:28" s="575" customFormat="1">
      <c r="A84" s="695"/>
      <c r="B84" s="696"/>
      <c r="C84" s="697"/>
      <c r="D84" s="698"/>
      <c r="E84" s="699"/>
      <c r="F84" s="700"/>
      <c r="G84" s="701"/>
      <c r="H84" s="493"/>
      <c r="I84" s="493"/>
      <c r="J84" s="550"/>
      <c r="K84" s="485"/>
      <c r="L84" s="715"/>
      <c r="M84" s="571"/>
      <c r="N84" s="588"/>
      <c r="O84" s="588"/>
      <c r="P84" s="589"/>
      <c r="Q84" s="572"/>
      <c r="R84" s="573"/>
      <c r="S84" s="574"/>
      <c r="T84" s="574"/>
      <c r="U84" s="574"/>
      <c r="V84" s="574"/>
      <c r="W84" s="574"/>
      <c r="X84" s="572"/>
      <c r="Y84" s="572"/>
      <c r="Z84" s="572"/>
      <c r="AB84" s="573"/>
    </row>
    <row r="85" spans="1:28" s="575" customFormat="1">
      <c r="A85" s="695"/>
      <c r="B85" s="696"/>
      <c r="C85" s="697"/>
      <c r="D85" s="698"/>
      <c r="E85" s="699"/>
      <c r="F85" s="700"/>
      <c r="G85" s="701"/>
      <c r="H85" s="493"/>
      <c r="I85" s="493"/>
      <c r="J85" s="550"/>
      <c r="K85" s="485">
        <v>0</v>
      </c>
      <c r="L85" s="715"/>
      <c r="M85" s="571"/>
      <c r="N85" s="588"/>
      <c r="O85" s="588"/>
      <c r="P85" s="589"/>
      <c r="Q85" s="572"/>
      <c r="R85" s="573"/>
      <c r="S85" s="574"/>
      <c r="T85" s="574"/>
      <c r="U85" s="574"/>
      <c r="V85" s="574"/>
      <c r="W85" s="574"/>
      <c r="X85" s="572"/>
      <c r="Y85" s="572"/>
      <c r="Z85" s="572"/>
      <c r="AB85" s="573"/>
    </row>
    <row r="86" spans="1:28" s="575" customFormat="1" ht="67.5" customHeight="1">
      <c r="A86" s="752" t="s">
        <v>12</v>
      </c>
      <c r="B86" s="751" t="s">
        <v>1085</v>
      </c>
      <c r="C86" s="769" t="s">
        <v>80</v>
      </c>
      <c r="D86" s="763"/>
      <c r="E86" s="764"/>
      <c r="F86" s="764"/>
      <c r="G86" s="778"/>
      <c r="H86" s="779"/>
      <c r="I86" s="779"/>
      <c r="J86" s="780"/>
      <c r="K86" s="777">
        <f>+K87</f>
        <v>599</v>
      </c>
      <c r="L86" s="715"/>
      <c r="M86" s="571"/>
      <c r="N86" s="588"/>
      <c r="O86" s="588"/>
      <c r="P86" s="589"/>
      <c r="Q86" s="572"/>
      <c r="R86" s="573"/>
      <c r="S86" s="574"/>
      <c r="T86" s="574"/>
      <c r="U86" s="574"/>
      <c r="V86" s="574"/>
      <c r="W86" s="574"/>
      <c r="X86" s="572"/>
      <c r="Y86" s="572"/>
      <c r="Z86" s="572"/>
      <c r="AB86" s="573"/>
    </row>
    <row r="87" spans="1:28" s="575" customFormat="1">
      <c r="A87" s="695"/>
      <c r="B87" s="696" t="s">
        <v>1086</v>
      </c>
      <c r="C87" s="697"/>
      <c r="D87" s="698"/>
      <c r="E87" s="699">
        <v>599</v>
      </c>
      <c r="F87" s="700"/>
      <c r="G87" s="701"/>
      <c r="H87" s="493"/>
      <c r="I87" s="493"/>
      <c r="J87" s="550"/>
      <c r="K87" s="485">
        <v>599</v>
      </c>
      <c r="L87" s="715"/>
      <c r="M87" s="571"/>
      <c r="N87" s="588"/>
      <c r="O87" s="588"/>
      <c r="P87" s="589"/>
      <c r="Q87" s="572"/>
      <c r="R87" s="573"/>
      <c r="S87" s="574"/>
      <c r="T87" s="574"/>
      <c r="U87" s="574"/>
      <c r="V87" s="574"/>
      <c r="W87" s="574"/>
      <c r="X87" s="572"/>
      <c r="Y87" s="572"/>
      <c r="Z87" s="572"/>
      <c r="AB87" s="573"/>
    </row>
    <row r="88" spans="1:28" s="575" customFormat="1">
      <c r="A88" s="695"/>
      <c r="B88" s="696"/>
      <c r="C88" s="697"/>
      <c r="D88" s="698"/>
      <c r="E88" s="699"/>
      <c r="F88" s="700"/>
      <c r="G88" s="701"/>
      <c r="H88" s="493"/>
      <c r="I88" s="493"/>
      <c r="J88" s="550"/>
      <c r="K88" s="485">
        <v>0</v>
      </c>
      <c r="L88" s="715"/>
      <c r="M88" s="571"/>
      <c r="N88" s="588"/>
      <c r="O88" s="588"/>
      <c r="P88" s="589"/>
      <c r="Q88" s="572"/>
      <c r="R88" s="573"/>
      <c r="S88" s="574"/>
      <c r="T88" s="574"/>
      <c r="U88" s="574"/>
      <c r="V88" s="574"/>
      <c r="W88" s="574"/>
      <c r="X88" s="572"/>
      <c r="Y88" s="572"/>
      <c r="Z88" s="572"/>
      <c r="AB88" s="573"/>
    </row>
    <row r="89" spans="1:28" s="575" customFormat="1">
      <c r="A89" s="695"/>
      <c r="B89" s="696"/>
      <c r="C89" s="697"/>
      <c r="D89" s="698"/>
      <c r="E89" s="699"/>
      <c r="F89" s="700"/>
      <c r="G89" s="701"/>
      <c r="H89" s="493"/>
      <c r="I89" s="493"/>
      <c r="J89" s="550"/>
      <c r="K89" s="485">
        <v>0</v>
      </c>
      <c r="L89" s="715"/>
      <c r="M89" s="571"/>
      <c r="N89" s="588"/>
      <c r="O89" s="588"/>
      <c r="P89" s="589"/>
      <c r="Q89" s="572"/>
      <c r="R89" s="573"/>
      <c r="S89" s="574"/>
      <c r="T89" s="574"/>
      <c r="U89" s="574"/>
      <c r="V89" s="574"/>
      <c r="W89" s="574"/>
      <c r="X89" s="572"/>
      <c r="Y89" s="572"/>
      <c r="Z89" s="572"/>
      <c r="AB89" s="573"/>
    </row>
    <row r="90" spans="1:28" s="575" customFormat="1" ht="93">
      <c r="A90" s="752" t="s">
        <v>681</v>
      </c>
      <c r="B90" s="751" t="s">
        <v>1074</v>
      </c>
      <c r="C90" s="769" t="s">
        <v>47</v>
      </c>
      <c r="D90" s="763"/>
      <c r="E90" s="764"/>
      <c r="F90" s="764"/>
      <c r="G90" s="778"/>
      <c r="H90" s="779"/>
      <c r="I90" s="779"/>
      <c r="J90" s="780"/>
      <c r="K90" s="777">
        <f>+K91+K92</f>
        <v>114.27325</v>
      </c>
      <c r="L90" s="715"/>
      <c r="M90" s="571"/>
      <c r="N90" s="588"/>
      <c r="O90" s="588"/>
      <c r="P90" s="589"/>
      <c r="Q90" s="572"/>
      <c r="R90" s="573"/>
      <c r="S90" s="574"/>
      <c r="T90" s="574"/>
      <c r="U90" s="574"/>
      <c r="V90" s="574"/>
      <c r="W90" s="574"/>
      <c r="X90" s="572"/>
      <c r="Y90" s="572"/>
      <c r="Z90" s="572"/>
      <c r="AB90" s="573"/>
    </row>
    <row r="91" spans="1:28" s="575" customFormat="1">
      <c r="A91" s="695"/>
      <c r="B91" s="696" t="s">
        <v>1087</v>
      </c>
      <c r="C91" s="697"/>
      <c r="D91" s="698"/>
      <c r="E91" s="699">
        <v>599</v>
      </c>
      <c r="F91" s="700"/>
      <c r="G91" s="701"/>
      <c r="H91" s="493">
        <v>0.1414</v>
      </c>
      <c r="I91" s="493">
        <v>84.698599999999999</v>
      </c>
      <c r="J91" s="550"/>
      <c r="K91" s="485">
        <v>105.87325</v>
      </c>
      <c r="L91" s="715"/>
      <c r="M91" s="571"/>
      <c r="N91" s="588"/>
      <c r="O91" s="588"/>
      <c r="P91" s="589"/>
      <c r="Q91" s="572"/>
      <c r="R91" s="573"/>
      <c r="S91" s="574"/>
      <c r="T91" s="574"/>
      <c r="U91" s="574"/>
      <c r="V91" s="574"/>
      <c r="W91" s="574"/>
      <c r="X91" s="572"/>
      <c r="Y91" s="572"/>
      <c r="Z91" s="572"/>
      <c r="AB91" s="573"/>
    </row>
    <row r="92" spans="1:28" s="575" customFormat="1">
      <c r="A92" s="695"/>
      <c r="B92" s="696" t="s">
        <v>1088</v>
      </c>
      <c r="C92" s="697"/>
      <c r="D92" s="698"/>
      <c r="E92" s="699">
        <v>16</v>
      </c>
      <c r="F92" s="700">
        <v>0.7</v>
      </c>
      <c r="G92" s="701">
        <v>0.6</v>
      </c>
      <c r="H92" s="493"/>
      <c r="I92" s="493">
        <v>6.72</v>
      </c>
      <c r="J92" s="550"/>
      <c r="K92" s="485">
        <v>8.4</v>
      </c>
      <c r="L92" s="715"/>
      <c r="M92" s="571"/>
      <c r="N92" s="588"/>
      <c r="O92" s="588"/>
      <c r="P92" s="589"/>
      <c r="Q92" s="572"/>
      <c r="R92" s="573"/>
      <c r="S92" s="574"/>
      <c r="T92" s="574"/>
      <c r="U92" s="574"/>
      <c r="V92" s="574"/>
      <c r="W92" s="574"/>
      <c r="X92" s="572"/>
      <c r="Y92" s="572"/>
      <c r="Z92" s="572"/>
      <c r="AB92" s="573"/>
    </row>
    <row r="93" spans="1:28" s="575" customFormat="1">
      <c r="A93" s="695"/>
      <c r="B93" s="696">
        <v>1.25</v>
      </c>
      <c r="C93" s="697"/>
      <c r="D93" s="698"/>
      <c r="E93" s="699"/>
      <c r="F93" s="700"/>
      <c r="G93" s="701"/>
      <c r="H93" s="493"/>
      <c r="I93" s="493"/>
      <c r="J93" s="550"/>
      <c r="K93" s="485"/>
      <c r="L93" s="715"/>
      <c r="M93" s="571"/>
      <c r="N93" s="588"/>
      <c r="O93" s="588"/>
      <c r="P93" s="589"/>
      <c r="Q93" s="572"/>
      <c r="R93" s="573"/>
      <c r="S93" s="574"/>
      <c r="T93" s="574"/>
      <c r="U93" s="574"/>
      <c r="V93" s="574"/>
      <c r="W93" s="574"/>
      <c r="X93" s="572"/>
      <c r="Y93" s="572"/>
      <c r="Z93" s="572"/>
      <c r="AB93" s="573"/>
    </row>
    <row r="94" spans="1:28" s="575" customFormat="1" ht="46.5">
      <c r="A94" s="752" t="s">
        <v>682</v>
      </c>
      <c r="B94" s="751" t="s">
        <v>51</v>
      </c>
      <c r="C94" s="769" t="s">
        <v>684</v>
      </c>
      <c r="D94" s="763"/>
      <c r="E94" s="764"/>
      <c r="F94" s="764"/>
      <c r="G94" s="778"/>
      <c r="H94" s="779"/>
      <c r="I94" s="779"/>
      <c r="J94" s="780"/>
      <c r="K94" s="777">
        <f>+I95</f>
        <v>1371.279</v>
      </c>
      <c r="L94" s="715"/>
      <c r="M94" s="571"/>
      <c r="N94" s="588"/>
      <c r="O94" s="588"/>
      <c r="P94" s="589"/>
      <c r="Q94" s="572"/>
      <c r="R94" s="573"/>
      <c r="S94" s="574"/>
      <c r="T94" s="574"/>
      <c r="U94" s="574"/>
      <c r="V94" s="574"/>
      <c r="W94" s="574"/>
      <c r="X94" s="572"/>
      <c r="Y94" s="572"/>
      <c r="Z94" s="572"/>
      <c r="AB94" s="573"/>
    </row>
    <row r="95" spans="1:28" s="575" customFormat="1">
      <c r="A95" s="695"/>
      <c r="B95" s="696"/>
      <c r="C95" s="697"/>
      <c r="D95" s="698"/>
      <c r="E95" s="699"/>
      <c r="F95" s="700"/>
      <c r="G95" s="701"/>
      <c r="H95" s="493"/>
      <c r="I95" s="493">
        <v>1371.279</v>
      </c>
      <c r="J95" s="550"/>
      <c r="K95" s="485"/>
      <c r="L95" s="715"/>
      <c r="M95" s="571"/>
      <c r="N95" s="588"/>
      <c r="O95" s="588"/>
      <c r="P95" s="589"/>
      <c r="Q95" s="572"/>
      <c r="R95" s="573"/>
      <c r="S95" s="574"/>
      <c r="T95" s="574"/>
      <c r="U95" s="574"/>
      <c r="V95" s="574"/>
      <c r="W95" s="574"/>
      <c r="X95" s="572"/>
      <c r="Y95" s="572"/>
      <c r="Z95" s="572"/>
      <c r="AB95" s="573"/>
    </row>
    <row r="96" spans="1:28" s="575" customFormat="1">
      <c r="A96" s="695"/>
      <c r="B96" s="696"/>
      <c r="C96" s="697"/>
      <c r="D96" s="698"/>
      <c r="E96" s="699"/>
      <c r="F96" s="700"/>
      <c r="G96" s="701"/>
      <c r="H96" s="493"/>
      <c r="I96" s="493"/>
      <c r="J96" s="550"/>
      <c r="K96" s="485"/>
      <c r="L96" s="715"/>
      <c r="M96" s="571"/>
      <c r="N96" s="588"/>
      <c r="O96" s="588"/>
      <c r="P96" s="589"/>
      <c r="Q96" s="572"/>
      <c r="R96" s="573"/>
      <c r="S96" s="574"/>
      <c r="T96" s="574"/>
      <c r="U96" s="574"/>
      <c r="V96" s="574"/>
      <c r="W96" s="574"/>
      <c r="X96" s="572"/>
      <c r="Y96" s="572"/>
      <c r="Z96" s="572"/>
      <c r="AB96" s="573"/>
    </row>
    <row r="97" spans="1:28" s="575" customFormat="1">
      <c r="A97" s="695"/>
      <c r="B97" s="696">
        <v>12</v>
      </c>
      <c r="C97" s="697"/>
      <c r="D97" s="698"/>
      <c r="E97" s="699"/>
      <c r="F97" s="700"/>
      <c r="G97" s="701"/>
      <c r="H97" s="493"/>
      <c r="I97" s="493"/>
      <c r="J97" s="550"/>
      <c r="K97" s="485">
        <v>0</v>
      </c>
      <c r="L97" s="715"/>
      <c r="M97" s="571"/>
      <c r="N97" s="588"/>
      <c r="O97" s="588"/>
      <c r="P97" s="589"/>
      <c r="Q97" s="572"/>
      <c r="R97" s="573"/>
      <c r="S97" s="574"/>
      <c r="T97" s="574"/>
      <c r="U97" s="574"/>
      <c r="V97" s="574"/>
      <c r="W97" s="574"/>
      <c r="X97" s="572"/>
      <c r="Y97" s="572"/>
      <c r="Z97" s="572"/>
      <c r="AB97" s="573"/>
    </row>
    <row r="98" spans="1:28" s="575" customFormat="1">
      <c r="A98" s="797"/>
      <c r="B98" s="551"/>
      <c r="C98" s="551"/>
      <c r="D98" s="805"/>
      <c r="E98" s="806"/>
      <c r="F98" s="806"/>
      <c r="G98" s="807"/>
      <c r="H98" s="808"/>
      <c r="I98" s="809"/>
      <c r="J98" s="810"/>
      <c r="K98" s="811"/>
      <c r="L98" s="715"/>
      <c r="M98" s="571"/>
      <c r="N98" s="588"/>
      <c r="O98" s="588"/>
      <c r="P98" s="589"/>
      <c r="Q98" s="572"/>
      <c r="R98" s="573"/>
      <c r="S98" s="574"/>
      <c r="T98" s="574"/>
      <c r="U98" s="574"/>
      <c r="V98" s="574"/>
      <c r="W98" s="574"/>
      <c r="X98" s="572"/>
      <c r="Y98" s="572"/>
      <c r="Z98" s="572"/>
      <c r="AB98" s="573"/>
    </row>
    <row r="99" spans="1:28" s="575" customFormat="1" ht="63" customHeight="1">
      <c r="A99" s="781">
        <v>4</v>
      </c>
      <c r="B99" s="782" t="s">
        <v>1089</v>
      </c>
      <c r="C99" s="782"/>
      <c r="D99" s="783"/>
      <c r="E99" s="784"/>
      <c r="F99" s="784"/>
      <c r="G99" s="785"/>
      <c r="H99" s="786"/>
      <c r="I99" s="786"/>
      <c r="J99" s="787"/>
      <c r="K99" s="788"/>
      <c r="L99" s="715"/>
      <c r="M99" s="571"/>
      <c r="N99" s="588"/>
      <c r="O99" s="588"/>
      <c r="P99" s="589"/>
      <c r="Q99" s="572"/>
      <c r="R99" s="573"/>
      <c r="S99" s="574"/>
      <c r="T99" s="574"/>
      <c r="U99" s="574"/>
      <c r="V99" s="574"/>
      <c r="W99" s="574"/>
      <c r="X99" s="572"/>
      <c r="Y99" s="572"/>
      <c r="Z99" s="572"/>
      <c r="AB99" s="573"/>
    </row>
    <row r="100" spans="1:28" s="575" customFormat="1" ht="46.5">
      <c r="A100" s="752" t="s">
        <v>14</v>
      </c>
      <c r="B100" s="751" t="s">
        <v>1107</v>
      </c>
      <c r="C100" s="769" t="s">
        <v>45</v>
      </c>
      <c r="D100" s="763"/>
      <c r="E100" s="764"/>
      <c r="F100" s="764"/>
      <c r="G100" s="778"/>
      <c r="H100" s="779"/>
      <c r="I100" s="779"/>
      <c r="J100" s="780"/>
      <c r="K100" s="777">
        <f>+H101</f>
        <v>61.199999999999996</v>
      </c>
      <c r="L100" s="715"/>
      <c r="M100" s="571"/>
      <c r="N100" s="588"/>
      <c r="O100" s="588"/>
      <c r="P100" s="589"/>
      <c r="Q100" s="572"/>
      <c r="R100" s="573"/>
      <c r="S100" s="574"/>
      <c r="T100" s="574"/>
      <c r="U100" s="574"/>
      <c r="V100" s="574"/>
      <c r="W100" s="574"/>
      <c r="X100" s="572"/>
      <c r="Y100" s="572"/>
      <c r="Z100" s="572"/>
      <c r="AB100" s="573"/>
    </row>
    <row r="101" spans="1:28" s="575" customFormat="1">
      <c r="A101" s="695"/>
      <c r="B101" s="696" t="s">
        <v>1090</v>
      </c>
      <c r="C101" s="697"/>
      <c r="D101" s="698"/>
      <c r="E101" s="699">
        <v>51</v>
      </c>
      <c r="F101" s="700">
        <v>1.2</v>
      </c>
      <c r="G101" s="701"/>
      <c r="H101" s="681">
        <v>61.199999999999996</v>
      </c>
      <c r="I101" s="493"/>
      <c r="J101" s="550"/>
      <c r="K101" s="485">
        <v>0</v>
      </c>
      <c r="L101" s="715"/>
      <c r="M101" s="571"/>
      <c r="N101" s="588"/>
      <c r="O101" s="588"/>
      <c r="P101" s="589"/>
      <c r="Q101" s="572"/>
      <c r="R101" s="573"/>
      <c r="S101" s="574"/>
      <c r="T101" s="574"/>
      <c r="U101" s="574"/>
      <c r="V101" s="574"/>
      <c r="W101" s="574"/>
      <c r="X101" s="572"/>
      <c r="Y101" s="572"/>
      <c r="Z101" s="572"/>
      <c r="AB101" s="573"/>
    </row>
    <row r="102" spans="1:28" s="575" customFormat="1">
      <c r="A102" s="695"/>
      <c r="B102" s="696"/>
      <c r="C102" s="697"/>
      <c r="D102" s="698"/>
      <c r="E102" s="699"/>
      <c r="F102" s="700"/>
      <c r="G102" s="701"/>
      <c r="H102" s="681"/>
      <c r="I102" s="493"/>
      <c r="J102" s="550"/>
      <c r="K102" s="485"/>
      <c r="L102" s="715"/>
      <c r="M102" s="571"/>
      <c r="N102" s="588"/>
      <c r="O102" s="588"/>
      <c r="P102" s="589"/>
      <c r="Q102" s="572"/>
      <c r="R102" s="573"/>
      <c r="S102" s="574"/>
      <c r="T102" s="574"/>
      <c r="U102" s="574"/>
      <c r="V102" s="574"/>
      <c r="W102" s="574"/>
      <c r="X102" s="572"/>
      <c r="Y102" s="572"/>
      <c r="Z102" s="572"/>
      <c r="AB102" s="573"/>
    </row>
    <row r="103" spans="1:28" s="575" customFormat="1">
      <c r="A103" s="797"/>
      <c r="B103" s="551"/>
      <c r="C103" s="798"/>
      <c r="D103" s="799"/>
      <c r="E103" s="800"/>
      <c r="F103" s="800"/>
      <c r="G103" s="801"/>
      <c r="H103" s="812"/>
      <c r="I103" s="802"/>
      <c r="J103" s="803"/>
      <c r="K103" s="804"/>
      <c r="L103" s="715"/>
      <c r="M103" s="571"/>
      <c r="N103" s="588"/>
      <c r="O103" s="588"/>
      <c r="P103" s="589"/>
      <c r="Q103" s="572"/>
      <c r="R103" s="573"/>
      <c r="S103" s="574"/>
      <c r="T103" s="574"/>
      <c r="U103" s="574"/>
      <c r="V103" s="574"/>
      <c r="W103" s="574"/>
      <c r="X103" s="572"/>
      <c r="Y103" s="572"/>
      <c r="Z103" s="572"/>
      <c r="AB103" s="573"/>
    </row>
    <row r="104" spans="1:28" s="575" customFormat="1" ht="46.5">
      <c r="A104" s="752" t="s">
        <v>15</v>
      </c>
      <c r="B104" s="751" t="s">
        <v>1091</v>
      </c>
      <c r="C104" s="769" t="s">
        <v>47</v>
      </c>
      <c r="D104" s="763"/>
      <c r="E104" s="764"/>
      <c r="F104" s="764"/>
      <c r="G104" s="778"/>
      <c r="H104" s="779"/>
      <c r="I104" s="779"/>
      <c r="J104" s="780"/>
      <c r="K104" s="777">
        <f>+I105</f>
        <v>73.44</v>
      </c>
      <c r="L104" s="715"/>
      <c r="M104" s="571"/>
      <c r="N104" s="588"/>
      <c r="O104" s="588"/>
      <c r="P104" s="589"/>
      <c r="Q104" s="572"/>
      <c r="R104" s="573"/>
      <c r="S104" s="574"/>
      <c r="T104" s="574"/>
      <c r="U104" s="574"/>
      <c r="V104" s="574"/>
      <c r="W104" s="574"/>
      <c r="X104" s="572"/>
      <c r="Y104" s="572"/>
      <c r="Z104" s="572"/>
      <c r="AB104" s="573"/>
    </row>
    <row r="105" spans="1:28" s="575" customFormat="1">
      <c r="A105" s="695"/>
      <c r="B105" s="696" t="s">
        <v>1092</v>
      </c>
      <c r="C105" s="697"/>
      <c r="D105" s="698"/>
      <c r="E105" s="699">
        <v>51</v>
      </c>
      <c r="F105" s="700">
        <v>1.2</v>
      </c>
      <c r="G105" s="701">
        <v>1.2</v>
      </c>
      <c r="H105" s="681"/>
      <c r="I105" s="493">
        <v>73.44</v>
      </c>
      <c r="J105" s="550"/>
      <c r="K105" s="485">
        <v>0</v>
      </c>
      <c r="L105" s="715"/>
      <c r="M105" s="571"/>
      <c r="N105" s="588"/>
      <c r="O105" s="588"/>
      <c r="P105" s="589"/>
      <c r="Q105" s="572"/>
      <c r="R105" s="573"/>
      <c r="S105" s="574"/>
      <c r="T105" s="574"/>
      <c r="U105" s="574"/>
      <c r="V105" s="574"/>
      <c r="W105" s="574"/>
      <c r="X105" s="572"/>
      <c r="Y105" s="572"/>
      <c r="Z105" s="572"/>
      <c r="AB105" s="573"/>
    </row>
    <row r="106" spans="1:28" s="575" customFormat="1">
      <c r="A106" s="695"/>
      <c r="B106" s="696"/>
      <c r="C106" s="697"/>
      <c r="D106" s="698"/>
      <c r="E106" s="699"/>
      <c r="F106" s="700"/>
      <c r="G106" s="701"/>
      <c r="H106" s="681"/>
      <c r="I106" s="493"/>
      <c r="J106" s="550"/>
      <c r="K106" s="485"/>
      <c r="L106" s="715"/>
      <c r="M106" s="571"/>
      <c r="N106" s="588"/>
      <c r="O106" s="588"/>
      <c r="P106" s="589"/>
      <c r="Q106" s="572"/>
      <c r="R106" s="573"/>
      <c r="S106" s="574"/>
      <c r="T106" s="574"/>
      <c r="U106" s="574"/>
      <c r="V106" s="574"/>
      <c r="W106" s="574"/>
      <c r="X106" s="572"/>
      <c r="Y106" s="572"/>
      <c r="Z106" s="572"/>
      <c r="AB106" s="573"/>
    </row>
    <row r="107" spans="1:28" s="575" customFormat="1">
      <c r="A107" s="797"/>
      <c r="B107" s="551"/>
      <c r="C107" s="798"/>
      <c r="D107" s="799"/>
      <c r="E107" s="800"/>
      <c r="F107" s="800"/>
      <c r="G107" s="801"/>
      <c r="H107" s="812"/>
      <c r="I107" s="802"/>
      <c r="J107" s="803"/>
      <c r="K107" s="804"/>
      <c r="L107" s="715"/>
      <c r="M107" s="571"/>
      <c r="N107" s="588"/>
      <c r="O107" s="588"/>
      <c r="P107" s="589"/>
      <c r="Q107" s="572"/>
      <c r="R107" s="573"/>
      <c r="S107" s="574"/>
      <c r="T107" s="574"/>
      <c r="U107" s="574"/>
      <c r="V107" s="574"/>
      <c r="W107" s="574"/>
      <c r="X107" s="572"/>
      <c r="Y107" s="572"/>
      <c r="Z107" s="572"/>
      <c r="AB107" s="573"/>
    </row>
    <row r="108" spans="1:28" s="575" customFormat="1" ht="69.75">
      <c r="A108" s="752" t="s">
        <v>1075</v>
      </c>
      <c r="B108" s="751" t="s">
        <v>1093</v>
      </c>
      <c r="C108" s="769" t="s">
        <v>44</v>
      </c>
      <c r="D108" s="763"/>
      <c r="E108" s="764"/>
      <c r="F108" s="764"/>
      <c r="G108" s="778"/>
      <c r="H108" s="779"/>
      <c r="I108" s="779"/>
      <c r="J108" s="780"/>
      <c r="K108" s="777">
        <f>+K109</f>
        <v>52.8</v>
      </c>
      <c r="L108" s="715"/>
      <c r="M108" s="571"/>
      <c r="N108" s="588"/>
      <c r="O108" s="588"/>
      <c r="P108" s="589"/>
      <c r="Q108" s="572"/>
      <c r="R108" s="573"/>
      <c r="S108" s="574"/>
      <c r="T108" s="574"/>
      <c r="U108" s="574"/>
      <c r="V108" s="574"/>
      <c r="W108" s="574"/>
      <c r="X108" s="572"/>
      <c r="Y108" s="572"/>
      <c r="Z108" s="572"/>
      <c r="AB108" s="573"/>
    </row>
    <row r="109" spans="1:28" s="575" customFormat="1">
      <c r="A109" s="695"/>
      <c r="B109" s="696" t="s">
        <v>1094</v>
      </c>
      <c r="C109" s="697"/>
      <c r="D109" s="698">
        <v>11</v>
      </c>
      <c r="E109" s="699">
        <v>4.8</v>
      </c>
      <c r="F109" s="700"/>
      <c r="G109" s="701"/>
      <c r="H109" s="681"/>
      <c r="I109" s="493"/>
      <c r="J109" s="550"/>
      <c r="K109" s="485">
        <v>52.8</v>
      </c>
      <c r="L109" s="715"/>
      <c r="M109" s="571"/>
      <c r="N109" s="588"/>
      <c r="O109" s="588"/>
      <c r="P109" s="589"/>
      <c r="Q109" s="572"/>
      <c r="R109" s="573"/>
      <c r="S109" s="574"/>
      <c r="T109" s="574"/>
      <c r="U109" s="574"/>
      <c r="V109" s="574"/>
      <c r="W109" s="574"/>
      <c r="X109" s="572"/>
      <c r="Y109" s="572"/>
      <c r="Z109" s="572"/>
      <c r="AB109" s="573"/>
    </row>
    <row r="110" spans="1:28" s="575" customFormat="1">
      <c r="A110" s="695"/>
      <c r="B110" s="696"/>
      <c r="C110" s="697"/>
      <c r="D110" s="698"/>
      <c r="E110" s="699"/>
      <c r="F110" s="700"/>
      <c r="G110" s="701"/>
      <c r="H110" s="493"/>
      <c r="I110" s="493"/>
      <c r="J110" s="550"/>
      <c r="K110" s="485"/>
      <c r="L110" s="715"/>
      <c r="M110" s="571"/>
      <c r="N110" s="588"/>
      <c r="O110" s="588"/>
      <c r="P110" s="589"/>
      <c r="Q110" s="572"/>
      <c r="R110" s="573"/>
      <c r="S110" s="574"/>
      <c r="T110" s="574"/>
      <c r="U110" s="574"/>
      <c r="V110" s="574"/>
      <c r="W110" s="574"/>
      <c r="X110" s="572"/>
      <c r="Y110" s="572"/>
      <c r="Z110" s="572"/>
      <c r="AB110" s="573"/>
    </row>
    <row r="111" spans="1:28" s="707" customFormat="1" ht="27" customHeight="1">
      <c r="A111" s="695"/>
      <c r="B111" s="696"/>
      <c r="C111" s="697"/>
      <c r="D111" s="698"/>
      <c r="E111" s="714"/>
      <c r="F111" s="700"/>
      <c r="G111" s="701"/>
      <c r="H111" s="493"/>
      <c r="I111" s="681"/>
      <c r="J111" s="550"/>
      <c r="K111" s="485"/>
      <c r="L111" s="486"/>
      <c r="M111" s="694"/>
      <c r="N111" s="702"/>
      <c r="O111" s="702"/>
      <c r="P111" s="703"/>
      <c r="Q111" s="704"/>
      <c r="R111" s="705"/>
      <c r="S111" s="706"/>
      <c r="T111" s="706"/>
      <c r="U111" s="706"/>
      <c r="V111" s="706"/>
      <c r="W111" s="706"/>
      <c r="X111" s="704"/>
      <c r="Y111" s="704"/>
      <c r="Z111" s="704"/>
      <c r="AB111" s="705"/>
    </row>
    <row r="112" spans="1:28" s="585" customFormat="1" ht="49.5" customHeight="1">
      <c r="A112" s="752" t="s">
        <v>1102</v>
      </c>
      <c r="B112" s="751" t="s">
        <v>1095</v>
      </c>
      <c r="C112" s="769" t="s">
        <v>44</v>
      </c>
      <c r="D112" s="763"/>
      <c r="E112" s="764"/>
      <c r="F112" s="764"/>
      <c r="G112" s="778"/>
      <c r="H112" s="779"/>
      <c r="I112" s="779"/>
      <c r="J112" s="780"/>
      <c r="K112" s="777">
        <f>+K113</f>
        <v>7.5</v>
      </c>
      <c r="L112" s="582"/>
      <c r="M112" s="583"/>
      <c r="N112" s="583"/>
      <c r="O112" s="529"/>
    </row>
    <row r="113" spans="1:28" s="585" customFormat="1" ht="27" customHeight="1">
      <c r="A113" s="695"/>
      <c r="B113" s="696" t="s">
        <v>1096</v>
      </c>
      <c r="C113" s="697"/>
      <c r="D113" s="693">
        <v>5</v>
      </c>
      <c r="E113" s="699">
        <v>1.5</v>
      </c>
      <c r="F113" s="700"/>
      <c r="G113" s="701"/>
      <c r="H113" s="548"/>
      <c r="I113" s="493"/>
      <c r="J113" s="550"/>
      <c r="K113" s="485">
        <v>7.5</v>
      </c>
      <c r="L113" s="582"/>
      <c r="M113" s="583"/>
      <c r="N113" s="583"/>
      <c r="O113" s="529"/>
    </row>
    <row r="114" spans="1:28" s="585" customFormat="1" ht="27" customHeight="1">
      <c r="A114" s="691"/>
      <c r="B114" s="692"/>
      <c r="C114" s="530"/>
      <c r="D114" s="532"/>
      <c r="E114" s="531"/>
      <c r="F114" s="531"/>
      <c r="G114" s="531"/>
      <c r="H114" s="530"/>
      <c r="I114" s="252"/>
      <c r="J114" s="252"/>
      <c r="K114" s="694"/>
      <c r="L114" s="582"/>
      <c r="M114" s="583"/>
      <c r="N114" s="583"/>
      <c r="O114" s="529"/>
    </row>
    <row r="115" spans="1:28" s="542" customFormat="1">
      <c r="A115" s="682"/>
      <c r="B115" s="723"/>
      <c r="C115" s="683"/>
      <c r="D115" s="684"/>
      <c r="E115" s="684"/>
      <c r="F115" s="685"/>
      <c r="G115" s="686"/>
      <c r="H115" s="685"/>
      <c r="I115" s="687"/>
      <c r="J115" s="688"/>
      <c r="K115" s="716"/>
      <c r="L115" s="486"/>
      <c r="M115" s="537"/>
      <c r="N115" s="543"/>
      <c r="O115" s="543"/>
      <c r="P115" s="543"/>
      <c r="Q115" s="539"/>
      <c r="R115" s="540"/>
      <c r="S115" s="541"/>
      <c r="T115" s="541"/>
      <c r="U115" s="541"/>
      <c r="V115" s="541"/>
      <c r="W115" s="541"/>
      <c r="X115" s="539"/>
      <c r="Y115" s="539"/>
      <c r="Z115" s="539"/>
      <c r="AB115" s="540"/>
    </row>
    <row r="116" spans="1:28" s="542" customFormat="1">
      <c r="A116" s="752" t="s">
        <v>1103</v>
      </c>
      <c r="B116" s="751" t="s">
        <v>1108</v>
      </c>
      <c r="C116" s="769" t="s">
        <v>45</v>
      </c>
      <c r="D116" s="763"/>
      <c r="E116" s="764"/>
      <c r="F116" s="764"/>
      <c r="G116" s="778"/>
      <c r="H116" s="779"/>
      <c r="I116" s="779"/>
      <c r="J116" s="780"/>
      <c r="K116" s="777">
        <f>+H117</f>
        <v>73.44</v>
      </c>
      <c r="L116" s="486"/>
      <c r="M116" s="537"/>
      <c r="N116" s="543"/>
      <c r="O116" s="543"/>
      <c r="P116" s="543"/>
      <c r="Q116" s="539"/>
      <c r="R116" s="540"/>
      <c r="S116" s="541"/>
      <c r="T116" s="541"/>
      <c r="U116" s="541"/>
      <c r="V116" s="541"/>
      <c r="W116" s="541"/>
      <c r="X116" s="539"/>
      <c r="Y116" s="539"/>
      <c r="Z116" s="539"/>
      <c r="AB116" s="540"/>
    </row>
    <row r="117" spans="1:28" s="542" customFormat="1" ht="46.5">
      <c r="A117" s="695"/>
      <c r="B117" s="696" t="s">
        <v>1097</v>
      </c>
      <c r="C117" s="697"/>
      <c r="D117" s="699">
        <v>1.2</v>
      </c>
      <c r="E117" s="699">
        <v>51</v>
      </c>
      <c r="F117" s="700">
        <v>1.2</v>
      </c>
      <c r="G117" s="701"/>
      <c r="H117" s="700">
        <v>73.44</v>
      </c>
      <c r="I117" s="549"/>
      <c r="J117" s="550"/>
      <c r="K117" s="485"/>
      <c r="L117" s="486"/>
      <c r="M117" s="537"/>
      <c r="N117" s="543"/>
      <c r="O117" s="543"/>
      <c r="P117" s="543"/>
      <c r="Q117" s="539"/>
      <c r="R117" s="540"/>
      <c r="S117" s="541"/>
      <c r="T117" s="541"/>
      <c r="U117" s="541"/>
      <c r="V117" s="541"/>
      <c r="W117" s="541"/>
      <c r="X117" s="539"/>
      <c r="Y117" s="539"/>
      <c r="Z117" s="539"/>
      <c r="AB117" s="540"/>
    </row>
    <row r="118" spans="1:28" s="575" customFormat="1">
      <c r="A118" s="695"/>
      <c r="B118" s="551"/>
      <c r="C118" s="697"/>
      <c r="D118" s="698"/>
      <c r="E118" s="699"/>
      <c r="F118" s="700"/>
      <c r="G118" s="701"/>
      <c r="H118" s="548"/>
      <c r="I118" s="549"/>
      <c r="J118" s="550"/>
      <c r="K118" s="253"/>
      <c r="L118" s="586"/>
      <c r="M118" s="571"/>
      <c r="N118" s="600" t="s">
        <v>55</v>
      </c>
      <c r="O118" s="600" t="s">
        <v>202</v>
      </c>
      <c r="P118" s="601" t="s">
        <v>181</v>
      </c>
      <c r="Q118" s="572"/>
      <c r="R118" s="573"/>
      <c r="S118" s="574"/>
      <c r="T118" s="574"/>
      <c r="U118" s="574"/>
      <c r="V118" s="574"/>
      <c r="W118" s="574"/>
      <c r="X118" s="572"/>
      <c r="Y118" s="572"/>
      <c r="Z118" s="572"/>
      <c r="AB118" s="573" t="s">
        <v>668</v>
      </c>
    </row>
    <row r="119" spans="1:28" s="575" customFormat="1">
      <c r="A119" s="695"/>
      <c r="B119" s="697"/>
      <c r="C119" s="697"/>
      <c r="D119" s="698"/>
      <c r="E119" s="699"/>
      <c r="F119" s="700"/>
      <c r="G119" s="701"/>
      <c r="H119" s="549"/>
      <c r="I119" s="549"/>
      <c r="J119" s="550"/>
      <c r="K119" s="253"/>
      <c r="L119" s="586"/>
      <c r="M119" s="571"/>
      <c r="N119" s="577" t="s">
        <v>611</v>
      </c>
      <c r="O119" s="577" t="s">
        <v>611</v>
      </c>
      <c r="P119" s="577" t="s">
        <v>611</v>
      </c>
      <c r="Q119" s="572"/>
      <c r="R119" s="573"/>
      <c r="S119" s="574"/>
      <c r="T119" s="574"/>
      <c r="U119" s="574"/>
      <c r="V119" s="574"/>
      <c r="W119" s="574"/>
      <c r="X119" s="572"/>
      <c r="Y119" s="572"/>
      <c r="Z119" s="572"/>
      <c r="AB119" s="573" t="s">
        <v>668</v>
      </c>
    </row>
    <row r="120" spans="1:28" s="575" customFormat="1">
      <c r="A120" s="752" t="s">
        <v>1104</v>
      </c>
      <c r="B120" s="751" t="s">
        <v>1098</v>
      </c>
      <c r="C120" s="769" t="s">
        <v>47</v>
      </c>
      <c r="D120" s="763"/>
      <c r="E120" s="764"/>
      <c r="F120" s="764"/>
      <c r="G120" s="778"/>
      <c r="H120" s="779"/>
      <c r="I120" s="779"/>
      <c r="J120" s="780"/>
      <c r="K120" s="777">
        <f>+I121</f>
        <v>18.36</v>
      </c>
      <c r="L120" s="586"/>
      <c r="M120" s="571"/>
      <c r="N120" s="588">
        <v>1</v>
      </c>
      <c r="O120" s="543" t="s">
        <v>611</v>
      </c>
      <c r="P120" s="577">
        <v>2</v>
      </c>
      <c r="Q120" s="572"/>
      <c r="R120" s="573"/>
      <c r="S120" s="574"/>
      <c r="T120" s="574"/>
      <c r="U120" s="574"/>
      <c r="V120" s="574"/>
      <c r="W120" s="574"/>
      <c r="X120" s="572"/>
      <c r="Y120" s="572"/>
      <c r="Z120" s="572"/>
      <c r="AB120" s="573" t="s">
        <v>668</v>
      </c>
    </row>
    <row r="121" spans="1:28" s="575" customFormat="1">
      <c r="A121" s="695"/>
      <c r="B121" s="696" t="s">
        <v>1099</v>
      </c>
      <c r="C121" s="697"/>
      <c r="D121" s="698"/>
      <c r="E121" s="699">
        <v>51</v>
      </c>
      <c r="F121" s="700">
        <v>1.2</v>
      </c>
      <c r="G121" s="701">
        <v>0.3</v>
      </c>
      <c r="H121" s="700"/>
      <c r="I121" s="549">
        <v>18.36</v>
      </c>
      <c r="J121" s="550"/>
      <c r="K121" s="253"/>
      <c r="L121" s="586"/>
      <c r="M121" s="571"/>
      <c r="N121" s="588">
        <v>1</v>
      </c>
      <c r="O121" s="543" t="s">
        <v>611</v>
      </c>
      <c r="P121" s="577">
        <v>2</v>
      </c>
      <c r="Q121" s="572"/>
      <c r="R121" s="573"/>
      <c r="S121" s="574"/>
      <c r="T121" s="574"/>
      <c r="U121" s="574"/>
      <c r="V121" s="574"/>
      <c r="W121" s="574"/>
      <c r="X121" s="572"/>
      <c r="Y121" s="572"/>
      <c r="Z121" s="572"/>
      <c r="AB121" s="573" t="s">
        <v>668</v>
      </c>
    </row>
    <row r="122" spans="1:28" s="575" customFormat="1">
      <c r="A122" s="695"/>
      <c r="B122" s="696"/>
      <c r="C122" s="697"/>
      <c r="D122" s="698"/>
      <c r="E122" s="699"/>
      <c r="F122" s="700"/>
      <c r="G122" s="701"/>
      <c r="H122" s="700"/>
      <c r="I122" s="549"/>
      <c r="J122" s="550"/>
      <c r="K122" s="253"/>
      <c r="L122" s="586"/>
      <c r="M122" s="571"/>
      <c r="N122" s="588">
        <v>1</v>
      </c>
      <c r="O122" s="543" t="s">
        <v>611</v>
      </c>
      <c r="P122" s="577">
        <v>2</v>
      </c>
      <c r="Q122" s="572"/>
      <c r="R122" s="573"/>
      <c r="S122" s="574"/>
      <c r="T122" s="574"/>
      <c r="U122" s="574"/>
      <c r="V122" s="574"/>
      <c r="W122" s="574"/>
      <c r="X122" s="572"/>
      <c r="Y122" s="572"/>
      <c r="Z122" s="572"/>
      <c r="AB122" s="573" t="s">
        <v>668</v>
      </c>
    </row>
    <row r="123" spans="1:28" s="575" customFormat="1">
      <c r="A123" s="695"/>
      <c r="B123" s="696"/>
      <c r="C123" s="697"/>
      <c r="D123" s="698"/>
      <c r="E123" s="699"/>
      <c r="F123" s="700"/>
      <c r="G123" s="701"/>
      <c r="H123" s="700"/>
      <c r="I123" s="549"/>
      <c r="J123" s="550"/>
      <c r="K123" s="253"/>
      <c r="L123" s="586"/>
      <c r="M123" s="571"/>
      <c r="N123" s="588">
        <v>2</v>
      </c>
      <c r="O123" s="543" t="s">
        <v>611</v>
      </c>
      <c r="P123" s="577">
        <v>1</v>
      </c>
      <c r="Q123" s="572"/>
      <c r="R123" s="573"/>
      <c r="S123" s="574"/>
      <c r="T123" s="574"/>
      <c r="U123" s="574"/>
      <c r="V123" s="574"/>
      <c r="W123" s="574"/>
      <c r="X123" s="572"/>
      <c r="Y123" s="572"/>
      <c r="Z123" s="572"/>
      <c r="AB123" s="573" t="s">
        <v>668</v>
      </c>
    </row>
    <row r="124" spans="1:28" s="575" customFormat="1" ht="46.5">
      <c r="A124" s="752" t="s">
        <v>1105</v>
      </c>
      <c r="B124" s="751" t="s">
        <v>1100</v>
      </c>
      <c r="C124" s="769" t="s">
        <v>45</v>
      </c>
      <c r="D124" s="763"/>
      <c r="E124" s="764"/>
      <c r="F124" s="764"/>
      <c r="G124" s="778"/>
      <c r="H124" s="779"/>
      <c r="I124" s="779"/>
      <c r="J124" s="780"/>
      <c r="K124" s="777">
        <f>+H125</f>
        <v>4560</v>
      </c>
      <c r="L124" s="586"/>
      <c r="M124" s="571"/>
      <c r="N124" s="588">
        <v>2</v>
      </c>
      <c r="O124" s="543" t="s">
        <v>611</v>
      </c>
      <c r="P124" s="577">
        <v>1</v>
      </c>
      <c r="Q124" s="572"/>
      <c r="R124" s="573"/>
      <c r="S124" s="574"/>
      <c r="T124" s="574"/>
      <c r="U124" s="574"/>
      <c r="V124" s="574"/>
      <c r="W124" s="574"/>
      <c r="X124" s="572"/>
      <c r="Y124" s="572"/>
      <c r="Z124" s="572"/>
      <c r="AB124" s="573" t="s">
        <v>668</v>
      </c>
    </row>
    <row r="125" spans="1:28" s="575" customFormat="1">
      <c r="A125" s="695"/>
      <c r="B125" s="696" t="s">
        <v>1101</v>
      </c>
      <c r="C125" s="697"/>
      <c r="D125" s="698"/>
      <c r="E125" s="699">
        <v>19</v>
      </c>
      <c r="F125" s="700">
        <v>240</v>
      </c>
      <c r="G125" s="701"/>
      <c r="H125" s="700">
        <v>4560</v>
      </c>
      <c r="I125" s="549"/>
      <c r="J125" s="550"/>
      <c r="K125" s="253">
        <v>0</v>
      </c>
      <c r="L125" s="586"/>
      <c r="M125" s="571"/>
      <c r="N125" s="588">
        <v>1</v>
      </c>
      <c r="O125" s="543" t="s">
        <v>611</v>
      </c>
      <c r="P125" s="577">
        <v>2</v>
      </c>
      <c r="Q125" s="572"/>
      <c r="R125" s="573"/>
      <c r="S125" s="574"/>
      <c r="T125" s="574"/>
      <c r="U125" s="574"/>
      <c r="V125" s="574"/>
      <c r="W125" s="574"/>
      <c r="X125" s="572"/>
      <c r="Y125" s="572"/>
      <c r="Z125" s="572"/>
      <c r="AB125" s="573" t="s">
        <v>668</v>
      </c>
    </row>
    <row r="126" spans="1:28" s="575" customFormat="1">
      <c r="A126" s="695"/>
      <c r="B126" s="696">
        <v>5</v>
      </c>
      <c r="C126" s="697"/>
      <c r="D126" s="698"/>
      <c r="E126" s="699"/>
      <c r="F126" s="700"/>
      <c r="G126" s="701"/>
      <c r="H126" s="700"/>
      <c r="I126" s="549"/>
      <c r="J126" s="550"/>
      <c r="K126" s="253"/>
      <c r="L126" s="586"/>
      <c r="M126" s="571"/>
      <c r="N126" s="588">
        <v>1</v>
      </c>
      <c r="O126" s="543" t="s">
        <v>611</v>
      </c>
      <c r="P126" s="577">
        <v>3</v>
      </c>
      <c r="Q126" s="572"/>
      <c r="R126" s="573"/>
      <c r="S126" s="574"/>
      <c r="T126" s="574"/>
      <c r="U126" s="574"/>
      <c r="V126" s="574"/>
      <c r="W126" s="574"/>
      <c r="X126" s="572"/>
      <c r="Y126" s="572"/>
      <c r="Z126" s="572"/>
      <c r="AB126" s="573" t="s">
        <v>668</v>
      </c>
    </row>
    <row r="127" spans="1:28" s="575" customFormat="1">
      <c r="A127" s="695"/>
      <c r="B127" s="696"/>
      <c r="C127" s="697"/>
      <c r="D127" s="698"/>
      <c r="E127" s="699"/>
      <c r="F127" s="700"/>
      <c r="G127" s="701"/>
      <c r="H127" s="700"/>
      <c r="I127" s="549"/>
      <c r="J127" s="550"/>
      <c r="K127" s="253"/>
      <c r="L127" s="586"/>
      <c r="M127" s="571"/>
      <c r="N127" s="588">
        <v>1</v>
      </c>
      <c r="O127" s="543" t="s">
        <v>611</v>
      </c>
      <c r="P127" s="577">
        <v>2</v>
      </c>
      <c r="Q127" s="572"/>
      <c r="R127" s="573"/>
      <c r="S127" s="574"/>
      <c r="T127" s="574"/>
      <c r="U127" s="574"/>
      <c r="V127" s="574"/>
      <c r="W127" s="574"/>
      <c r="X127" s="572"/>
      <c r="Y127" s="572"/>
      <c r="Z127" s="572"/>
      <c r="AB127" s="573" t="s">
        <v>668</v>
      </c>
    </row>
    <row r="128" spans="1:28" s="575" customFormat="1">
      <c r="A128" s="695"/>
      <c r="B128" s="696"/>
      <c r="C128" s="697"/>
      <c r="D128" s="698"/>
      <c r="E128" s="699"/>
      <c r="F128" s="700"/>
      <c r="G128" s="701"/>
      <c r="H128" s="700"/>
      <c r="I128" s="549"/>
      <c r="J128" s="550"/>
      <c r="K128" s="253"/>
      <c r="L128" s="586"/>
      <c r="M128" s="571"/>
      <c r="N128" s="588">
        <v>2</v>
      </c>
      <c r="O128" s="543" t="s">
        <v>611</v>
      </c>
      <c r="P128" s="577">
        <v>1</v>
      </c>
      <c r="Q128" s="572"/>
      <c r="R128" s="573"/>
      <c r="S128" s="574"/>
      <c r="T128" s="574"/>
      <c r="U128" s="574"/>
      <c r="V128" s="574"/>
      <c r="W128" s="574"/>
      <c r="X128" s="572"/>
      <c r="Y128" s="572"/>
      <c r="Z128" s="572"/>
      <c r="AB128" s="573" t="s">
        <v>668</v>
      </c>
    </row>
    <row r="129" spans="1:28" s="575" customFormat="1">
      <c r="A129" s="695"/>
      <c r="B129" s="696"/>
      <c r="C129" s="697"/>
      <c r="D129" s="698"/>
      <c r="E129" s="699"/>
      <c r="F129" s="700"/>
      <c r="G129" s="701"/>
      <c r="H129" s="700"/>
      <c r="I129" s="549"/>
      <c r="J129" s="550"/>
      <c r="K129" s="253"/>
      <c r="L129" s="586"/>
      <c r="M129" s="571"/>
      <c r="N129" s="588">
        <v>1</v>
      </c>
      <c r="O129" s="543" t="s">
        <v>611</v>
      </c>
      <c r="P129" s="577">
        <v>2</v>
      </c>
      <c r="Q129" s="572"/>
      <c r="R129" s="573"/>
      <c r="S129" s="574"/>
      <c r="T129" s="574"/>
      <c r="U129" s="574"/>
      <c r="V129" s="574"/>
      <c r="W129" s="574"/>
      <c r="X129" s="572"/>
      <c r="Y129" s="572"/>
      <c r="Z129" s="572"/>
      <c r="AB129" s="573" t="s">
        <v>668</v>
      </c>
    </row>
    <row r="130" spans="1:28" s="575" customFormat="1">
      <c r="A130" s="695"/>
      <c r="B130" s="696"/>
      <c r="C130" s="697"/>
      <c r="D130" s="698"/>
      <c r="E130" s="699"/>
      <c r="F130" s="700"/>
      <c r="G130" s="701"/>
      <c r="H130" s="700"/>
      <c r="I130" s="549"/>
      <c r="J130" s="550"/>
      <c r="K130" s="253"/>
      <c r="L130" s="586"/>
      <c r="M130" s="571"/>
      <c r="N130" s="588">
        <v>1</v>
      </c>
      <c r="O130" s="543" t="s">
        <v>611</v>
      </c>
      <c r="P130" s="577">
        <v>2</v>
      </c>
      <c r="Q130" s="572"/>
      <c r="R130" s="573"/>
      <c r="S130" s="574"/>
      <c r="T130" s="574"/>
      <c r="U130" s="574"/>
      <c r="V130" s="574"/>
      <c r="W130" s="574"/>
      <c r="X130" s="572"/>
      <c r="Y130" s="572"/>
      <c r="Z130" s="572"/>
      <c r="AB130" s="573" t="s">
        <v>668</v>
      </c>
    </row>
    <row r="131" spans="1:28" s="575" customFormat="1">
      <c r="A131" s="695"/>
      <c r="B131" s="696"/>
      <c r="C131" s="697"/>
      <c r="D131" s="698"/>
      <c r="E131" s="699"/>
      <c r="F131" s="700"/>
      <c r="G131" s="701"/>
      <c r="H131" s="700"/>
      <c r="I131" s="549"/>
      <c r="J131" s="550"/>
      <c r="K131" s="253"/>
      <c r="L131" s="586"/>
      <c r="M131" s="571"/>
      <c r="N131" s="588">
        <v>1</v>
      </c>
      <c r="O131" s="543" t="s">
        <v>611</v>
      </c>
      <c r="P131" s="577">
        <v>2</v>
      </c>
      <c r="Q131" s="572"/>
      <c r="R131" s="573"/>
      <c r="S131" s="574"/>
      <c r="T131" s="574"/>
      <c r="U131" s="574"/>
      <c r="V131" s="574"/>
      <c r="W131" s="574"/>
      <c r="X131" s="572"/>
      <c r="Y131" s="572"/>
      <c r="Z131" s="572"/>
      <c r="AB131" s="573" t="s">
        <v>668</v>
      </c>
    </row>
    <row r="132" spans="1:28" s="575" customFormat="1">
      <c r="A132" s="695"/>
      <c r="B132" s="696"/>
      <c r="C132" s="697"/>
      <c r="D132" s="698"/>
      <c r="E132" s="699"/>
      <c r="F132" s="700"/>
      <c r="G132" s="701"/>
      <c r="H132" s="700"/>
      <c r="I132" s="549"/>
      <c r="J132" s="550"/>
      <c r="K132" s="253"/>
      <c r="L132" s="586"/>
      <c r="M132" s="571"/>
      <c r="N132" s="588">
        <v>2</v>
      </c>
      <c r="O132" s="543" t="s">
        <v>611</v>
      </c>
      <c r="P132" s="577">
        <v>1</v>
      </c>
      <c r="Q132" s="572"/>
      <c r="R132" s="573"/>
      <c r="S132" s="574"/>
      <c r="T132" s="574"/>
      <c r="U132" s="574"/>
      <c r="V132" s="574"/>
      <c r="W132" s="574"/>
      <c r="X132" s="572"/>
      <c r="Y132" s="572"/>
      <c r="Z132" s="572"/>
      <c r="AB132" s="573" t="s">
        <v>668</v>
      </c>
    </row>
    <row r="133" spans="1:28" s="575" customFormat="1">
      <c r="A133" s="695"/>
      <c r="B133" s="696"/>
      <c r="C133" s="697"/>
      <c r="D133" s="698"/>
      <c r="E133" s="699"/>
      <c r="F133" s="700"/>
      <c r="G133" s="701"/>
      <c r="H133" s="700"/>
      <c r="I133" s="549"/>
      <c r="J133" s="550"/>
      <c r="K133" s="253"/>
      <c r="L133" s="586"/>
      <c r="M133" s="571"/>
      <c r="N133" s="588">
        <v>1</v>
      </c>
      <c r="O133" s="543" t="s">
        <v>611</v>
      </c>
      <c r="P133" s="577">
        <v>2</v>
      </c>
      <c r="Q133" s="572"/>
      <c r="R133" s="573"/>
      <c r="S133" s="574"/>
      <c r="T133" s="574"/>
      <c r="U133" s="574"/>
      <c r="V133" s="574"/>
      <c r="W133" s="574"/>
      <c r="X133" s="572"/>
      <c r="Y133" s="572"/>
      <c r="Z133" s="572"/>
      <c r="AB133" s="573" t="s">
        <v>668</v>
      </c>
    </row>
    <row r="134" spans="1:28" s="575" customFormat="1">
      <c r="A134" s="695"/>
      <c r="B134" s="696"/>
      <c r="C134" s="697"/>
      <c r="D134" s="698"/>
      <c r="E134" s="699"/>
      <c r="F134" s="700"/>
      <c r="G134" s="701"/>
      <c r="H134" s="700"/>
      <c r="I134" s="549"/>
      <c r="J134" s="550"/>
      <c r="K134" s="253"/>
      <c r="L134" s="586"/>
      <c r="M134" s="571"/>
      <c r="N134" s="588">
        <v>1</v>
      </c>
      <c r="O134" s="543" t="s">
        <v>611</v>
      </c>
      <c r="P134" s="577">
        <v>2</v>
      </c>
      <c r="Q134" s="572"/>
      <c r="R134" s="573"/>
      <c r="S134" s="574"/>
      <c r="T134" s="574"/>
      <c r="U134" s="574"/>
      <c r="V134" s="574"/>
      <c r="W134" s="574"/>
      <c r="X134" s="572"/>
      <c r="Y134" s="572"/>
      <c r="Z134" s="572"/>
      <c r="AB134" s="573" t="s">
        <v>668</v>
      </c>
    </row>
    <row r="135" spans="1:28" s="575" customFormat="1">
      <c r="A135" s="695"/>
      <c r="B135" s="696"/>
      <c r="C135" s="697"/>
      <c r="D135" s="698"/>
      <c r="E135" s="699"/>
      <c r="F135" s="700"/>
      <c r="G135" s="701"/>
      <c r="H135" s="548"/>
      <c r="I135" s="549"/>
      <c r="J135" s="550"/>
      <c r="K135" s="253"/>
      <c r="L135" s="586"/>
      <c r="M135" s="571"/>
      <c r="N135" s="577" t="s">
        <v>874</v>
      </c>
      <c r="O135" s="577" t="s">
        <v>611</v>
      </c>
      <c r="P135" s="577">
        <v>2</v>
      </c>
      <c r="Q135" s="572"/>
      <c r="R135" s="573"/>
      <c r="S135" s="574"/>
      <c r="T135" s="574"/>
      <c r="U135" s="574"/>
      <c r="V135" s="574"/>
      <c r="W135" s="574"/>
      <c r="X135" s="572"/>
      <c r="Y135" s="572"/>
      <c r="Z135" s="572"/>
      <c r="AB135" s="573" t="s">
        <v>668</v>
      </c>
    </row>
    <row r="136" spans="1:28" s="575" customFormat="1">
      <c r="A136" s="695"/>
      <c r="B136" s="696"/>
      <c r="C136" s="697"/>
      <c r="D136" s="698"/>
      <c r="E136" s="699"/>
      <c r="F136" s="700"/>
      <c r="G136" s="701"/>
      <c r="H136" s="700"/>
      <c r="I136" s="549"/>
      <c r="J136" s="550"/>
      <c r="K136" s="253"/>
      <c r="L136" s="586"/>
      <c r="M136" s="571"/>
      <c r="N136" s="588">
        <v>2</v>
      </c>
      <c r="O136" s="543" t="s">
        <v>611</v>
      </c>
      <c r="P136" s="577">
        <v>1</v>
      </c>
      <c r="Q136" s="572"/>
      <c r="R136" s="573"/>
      <c r="S136" s="574"/>
      <c r="T136" s="574"/>
      <c r="U136" s="574"/>
      <c r="V136" s="574"/>
      <c r="W136" s="574"/>
      <c r="X136" s="572"/>
      <c r="Y136" s="572"/>
      <c r="Z136" s="572"/>
      <c r="AB136" s="573" t="s">
        <v>668</v>
      </c>
    </row>
    <row r="137" spans="1:28" s="575" customFormat="1">
      <c r="A137" s="695"/>
      <c r="B137" s="696"/>
      <c r="C137" s="697"/>
      <c r="D137" s="698"/>
      <c r="E137" s="699"/>
      <c r="F137" s="700"/>
      <c r="G137" s="701"/>
      <c r="H137" s="700"/>
      <c r="I137" s="549"/>
      <c r="J137" s="550"/>
      <c r="K137" s="253"/>
      <c r="L137" s="586"/>
      <c r="M137" s="571"/>
      <c r="N137" s="588">
        <v>1</v>
      </c>
      <c r="O137" s="543" t="s">
        <v>611</v>
      </c>
      <c r="P137" s="577">
        <v>2</v>
      </c>
      <c r="Q137" s="572"/>
      <c r="R137" s="573"/>
      <c r="S137" s="574"/>
      <c r="T137" s="574"/>
      <c r="U137" s="574"/>
      <c r="V137" s="574"/>
      <c r="W137" s="574"/>
      <c r="X137" s="572"/>
      <c r="Y137" s="572"/>
      <c r="Z137" s="572"/>
      <c r="AB137" s="573" t="s">
        <v>668</v>
      </c>
    </row>
    <row r="138" spans="1:28" s="575" customFormat="1">
      <c r="A138" s="695"/>
      <c r="B138" s="696"/>
      <c r="C138" s="697"/>
      <c r="D138" s="698"/>
      <c r="E138" s="699"/>
      <c r="F138" s="700"/>
      <c r="G138" s="701"/>
      <c r="H138" s="700"/>
      <c r="I138" s="549"/>
      <c r="J138" s="550"/>
      <c r="K138" s="253"/>
      <c r="L138" s="586"/>
      <c r="M138" s="571"/>
      <c r="N138" s="588">
        <v>1</v>
      </c>
      <c r="O138" s="543" t="s">
        <v>611</v>
      </c>
      <c r="P138" s="577">
        <v>2</v>
      </c>
      <c r="Q138" s="572"/>
      <c r="R138" s="573"/>
      <c r="S138" s="574"/>
      <c r="T138" s="574"/>
      <c r="U138" s="574"/>
      <c r="V138" s="574"/>
      <c r="W138" s="574"/>
      <c r="X138" s="572"/>
      <c r="Y138" s="572"/>
      <c r="Z138" s="572"/>
      <c r="AB138" s="573" t="s">
        <v>668</v>
      </c>
    </row>
    <row r="139" spans="1:28" s="575" customFormat="1">
      <c r="A139" s="616"/>
      <c r="B139" s="576" t="s">
        <v>851</v>
      </c>
      <c r="C139" s="591"/>
      <c r="D139" s="617"/>
      <c r="E139" s="618"/>
      <c r="F139" s="619"/>
      <c r="G139" s="620"/>
      <c r="H139" s="619">
        <v>8.4</v>
      </c>
      <c r="I139" s="622"/>
      <c r="J139" s="623"/>
      <c r="K139" s="586">
        <f t="shared" ref="K139:K162" si="0">H139</f>
        <v>8.4</v>
      </c>
      <c r="L139" s="586"/>
      <c r="M139" s="571"/>
      <c r="N139" s="588">
        <v>1</v>
      </c>
      <c r="O139" s="543" t="s">
        <v>611</v>
      </c>
      <c r="P139" s="577">
        <v>2</v>
      </c>
      <c r="Q139" s="572"/>
      <c r="R139" s="573"/>
      <c r="S139" s="574"/>
      <c r="T139" s="574"/>
      <c r="U139" s="574"/>
      <c r="V139" s="574"/>
      <c r="W139" s="574"/>
      <c r="X139" s="572"/>
      <c r="Y139" s="572"/>
      <c r="Z139" s="572"/>
      <c r="AB139" s="573" t="s">
        <v>668</v>
      </c>
    </row>
    <row r="140" spans="1:28" s="575" customFormat="1">
      <c r="A140" s="616"/>
      <c r="B140" s="576" t="s">
        <v>852</v>
      </c>
      <c r="C140" s="591"/>
      <c r="D140" s="617"/>
      <c r="E140" s="618"/>
      <c r="F140" s="619"/>
      <c r="G140" s="620"/>
      <c r="H140" s="619">
        <v>3.24</v>
      </c>
      <c r="I140" s="622"/>
      <c r="J140" s="623"/>
      <c r="K140" s="586">
        <f t="shared" si="0"/>
        <v>3.24</v>
      </c>
      <c r="L140" s="586"/>
      <c r="M140" s="571"/>
      <c r="N140" s="588">
        <v>2</v>
      </c>
      <c r="O140" s="543" t="s">
        <v>611</v>
      </c>
      <c r="P140" s="577">
        <v>1</v>
      </c>
      <c r="Q140" s="572"/>
      <c r="R140" s="573"/>
      <c r="S140" s="574"/>
      <c r="T140" s="574"/>
      <c r="U140" s="574"/>
      <c r="V140" s="574"/>
      <c r="W140" s="574"/>
      <c r="X140" s="572"/>
      <c r="Y140" s="572"/>
      <c r="Z140" s="572"/>
      <c r="AB140" s="573" t="s">
        <v>668</v>
      </c>
    </row>
    <row r="141" spans="1:28" s="575" customFormat="1">
      <c r="A141" s="616"/>
      <c r="B141" s="576" t="s">
        <v>853</v>
      </c>
      <c r="C141" s="591"/>
      <c r="D141" s="617"/>
      <c r="E141" s="618"/>
      <c r="F141" s="619"/>
      <c r="G141" s="620"/>
      <c r="H141" s="619">
        <v>3.24</v>
      </c>
      <c r="I141" s="622"/>
      <c r="J141" s="623"/>
      <c r="K141" s="586">
        <f t="shared" si="0"/>
        <v>3.24</v>
      </c>
      <c r="L141" s="586"/>
      <c r="M141" s="571"/>
      <c r="N141" s="588">
        <v>2</v>
      </c>
      <c r="O141" s="543" t="s">
        <v>611</v>
      </c>
      <c r="P141" s="577">
        <v>1</v>
      </c>
      <c r="Q141" s="572"/>
      <c r="R141" s="573"/>
      <c r="S141" s="574"/>
      <c r="T141" s="574"/>
      <c r="U141" s="574"/>
      <c r="V141" s="574"/>
      <c r="W141" s="574"/>
      <c r="X141" s="572"/>
      <c r="Y141" s="572"/>
      <c r="Z141" s="572"/>
      <c r="AB141" s="573" t="s">
        <v>668</v>
      </c>
    </row>
    <row r="142" spans="1:28" s="575" customFormat="1">
      <c r="A142" s="616"/>
      <c r="B142" s="576" t="s">
        <v>854</v>
      </c>
      <c r="C142" s="591"/>
      <c r="D142" s="617"/>
      <c r="E142" s="618"/>
      <c r="F142" s="619"/>
      <c r="G142" s="620"/>
      <c r="H142" s="619">
        <v>20.45</v>
      </c>
      <c r="I142" s="622"/>
      <c r="J142" s="623"/>
      <c r="K142" s="586">
        <f t="shared" si="0"/>
        <v>20.45</v>
      </c>
      <c r="L142" s="586"/>
      <c r="M142" s="571"/>
      <c r="N142" s="588">
        <v>1</v>
      </c>
      <c r="O142" s="543" t="s">
        <v>611</v>
      </c>
      <c r="P142" s="577">
        <v>2</v>
      </c>
      <c r="Q142" s="572"/>
      <c r="R142" s="573"/>
      <c r="S142" s="574"/>
      <c r="T142" s="574"/>
      <c r="U142" s="574"/>
      <c r="V142" s="574"/>
      <c r="W142" s="574"/>
      <c r="X142" s="572"/>
      <c r="Y142" s="572"/>
      <c r="Z142" s="572"/>
      <c r="AB142" s="573" t="s">
        <v>668</v>
      </c>
    </row>
    <row r="143" spans="1:28" s="575" customFormat="1">
      <c r="A143" s="616"/>
      <c r="B143" s="576" t="s">
        <v>855</v>
      </c>
      <c r="C143" s="591"/>
      <c r="D143" s="617"/>
      <c r="E143" s="618"/>
      <c r="F143" s="619"/>
      <c r="G143" s="620"/>
      <c r="H143" s="619">
        <v>8.4</v>
      </c>
      <c r="I143" s="622"/>
      <c r="J143" s="623"/>
      <c r="K143" s="586">
        <f t="shared" si="0"/>
        <v>8.4</v>
      </c>
      <c r="L143" s="586"/>
      <c r="M143" s="571"/>
      <c r="N143" s="588">
        <v>1</v>
      </c>
      <c r="O143" s="543" t="s">
        <v>611</v>
      </c>
      <c r="P143" s="577">
        <v>2</v>
      </c>
      <c r="Q143" s="572"/>
      <c r="R143" s="573"/>
      <c r="S143" s="574"/>
      <c r="T143" s="574"/>
      <c r="U143" s="574"/>
      <c r="V143" s="574"/>
      <c r="W143" s="574"/>
      <c r="X143" s="572"/>
      <c r="Y143" s="572"/>
      <c r="Z143" s="572"/>
      <c r="AB143" s="573" t="s">
        <v>668</v>
      </c>
    </row>
    <row r="144" spans="1:28" s="575" customFormat="1">
      <c r="A144" s="616"/>
      <c r="B144" s="576" t="s">
        <v>856</v>
      </c>
      <c r="C144" s="591"/>
      <c r="D144" s="617"/>
      <c r="E144" s="618"/>
      <c r="F144" s="619"/>
      <c r="G144" s="620"/>
      <c r="H144" s="619">
        <v>3.24</v>
      </c>
      <c r="I144" s="622"/>
      <c r="J144" s="623"/>
      <c r="K144" s="586">
        <f t="shared" si="0"/>
        <v>3.24</v>
      </c>
      <c r="L144" s="586"/>
      <c r="M144" s="571"/>
      <c r="N144" s="588">
        <v>2</v>
      </c>
      <c r="O144" s="543" t="s">
        <v>611</v>
      </c>
      <c r="P144" s="577">
        <v>1</v>
      </c>
      <c r="Q144" s="572"/>
      <c r="R144" s="573"/>
      <c r="S144" s="574"/>
      <c r="T144" s="574"/>
      <c r="U144" s="574"/>
      <c r="V144" s="574"/>
      <c r="W144" s="574"/>
      <c r="X144" s="572"/>
      <c r="Y144" s="572"/>
      <c r="Z144" s="572"/>
      <c r="AB144" s="573" t="s">
        <v>668</v>
      </c>
    </row>
    <row r="145" spans="1:28" s="575" customFormat="1">
      <c r="A145" s="616"/>
      <c r="B145" s="576" t="s">
        <v>857</v>
      </c>
      <c r="C145" s="591"/>
      <c r="D145" s="617"/>
      <c r="E145" s="618"/>
      <c r="F145" s="619"/>
      <c r="G145" s="620"/>
      <c r="H145" s="619">
        <v>3.24</v>
      </c>
      <c r="I145" s="622"/>
      <c r="J145" s="623"/>
      <c r="K145" s="586">
        <f t="shared" si="0"/>
        <v>3.24</v>
      </c>
      <c r="L145" s="586"/>
      <c r="M145" s="571"/>
      <c r="N145" s="588">
        <v>2</v>
      </c>
      <c r="O145" s="543" t="s">
        <v>611</v>
      </c>
      <c r="P145" s="577">
        <v>1</v>
      </c>
      <c r="Q145" s="572"/>
      <c r="R145" s="573"/>
      <c r="S145" s="574"/>
      <c r="T145" s="574"/>
      <c r="U145" s="574"/>
      <c r="V145" s="574"/>
      <c r="W145" s="574"/>
      <c r="X145" s="572"/>
      <c r="Y145" s="572"/>
      <c r="Z145" s="572"/>
      <c r="AB145" s="573" t="s">
        <v>668</v>
      </c>
    </row>
    <row r="146" spans="1:28" s="575" customFormat="1">
      <c r="A146" s="616"/>
      <c r="B146" s="576" t="s">
        <v>858</v>
      </c>
      <c r="C146" s="591"/>
      <c r="D146" s="617"/>
      <c r="E146" s="618"/>
      <c r="F146" s="619"/>
      <c r="G146" s="620"/>
      <c r="H146" s="619">
        <v>15.98</v>
      </c>
      <c r="I146" s="622"/>
      <c r="J146" s="623"/>
      <c r="K146" s="586">
        <f t="shared" si="0"/>
        <v>15.98</v>
      </c>
      <c r="L146" s="586"/>
      <c r="M146" s="571"/>
      <c r="N146" s="588">
        <v>1</v>
      </c>
      <c r="O146" s="543" t="s">
        <v>611</v>
      </c>
      <c r="P146" s="577">
        <v>2</v>
      </c>
      <c r="Q146" s="572"/>
      <c r="R146" s="573"/>
      <c r="S146" s="574"/>
      <c r="T146" s="574"/>
      <c r="U146" s="574"/>
      <c r="V146" s="574"/>
      <c r="W146" s="574"/>
      <c r="X146" s="572"/>
      <c r="Y146" s="572"/>
      <c r="Z146" s="572"/>
      <c r="AB146" s="573" t="s">
        <v>668</v>
      </c>
    </row>
    <row r="147" spans="1:28" s="575" customFormat="1">
      <c r="A147" s="616"/>
      <c r="B147" s="576" t="s">
        <v>859</v>
      </c>
      <c r="C147" s="591"/>
      <c r="D147" s="617"/>
      <c r="E147" s="618"/>
      <c r="F147" s="619"/>
      <c r="G147" s="620"/>
      <c r="H147" s="619">
        <v>10.199999999999999</v>
      </c>
      <c r="I147" s="622"/>
      <c r="J147" s="623"/>
      <c r="K147" s="586">
        <f t="shared" si="0"/>
        <v>10.199999999999999</v>
      </c>
      <c r="L147" s="586"/>
      <c r="M147" s="571"/>
      <c r="N147" s="588">
        <v>1</v>
      </c>
      <c r="O147" s="543" t="s">
        <v>611</v>
      </c>
      <c r="P147" s="577">
        <v>2</v>
      </c>
      <c r="Q147" s="572"/>
      <c r="R147" s="573"/>
      <c r="S147" s="574"/>
      <c r="T147" s="574"/>
      <c r="U147" s="574"/>
      <c r="V147" s="574"/>
      <c r="W147" s="574"/>
      <c r="X147" s="572"/>
      <c r="Y147" s="572"/>
      <c r="Z147" s="572"/>
      <c r="AB147" s="573" t="s">
        <v>668</v>
      </c>
    </row>
    <row r="148" spans="1:28" s="575" customFormat="1">
      <c r="A148" s="616"/>
      <c r="B148" s="576" t="s">
        <v>860</v>
      </c>
      <c r="C148" s="591"/>
      <c r="D148" s="617"/>
      <c r="E148" s="618"/>
      <c r="F148" s="619"/>
      <c r="G148" s="620"/>
      <c r="H148" s="619">
        <v>3.17</v>
      </c>
      <c r="I148" s="622"/>
      <c r="J148" s="623"/>
      <c r="K148" s="586">
        <f t="shared" si="0"/>
        <v>3.17</v>
      </c>
      <c r="L148" s="586"/>
      <c r="M148" s="571"/>
      <c r="N148" s="588">
        <v>2</v>
      </c>
      <c r="O148" s="543" t="s">
        <v>611</v>
      </c>
      <c r="P148" s="577">
        <v>1</v>
      </c>
      <c r="Q148" s="572"/>
      <c r="R148" s="573"/>
      <c r="S148" s="574"/>
      <c r="T148" s="574"/>
      <c r="U148" s="574"/>
      <c r="V148" s="574"/>
      <c r="W148" s="574"/>
      <c r="X148" s="572"/>
      <c r="Y148" s="572"/>
      <c r="Z148" s="572"/>
      <c r="AB148" s="573" t="s">
        <v>668</v>
      </c>
    </row>
    <row r="149" spans="1:28" s="575" customFormat="1">
      <c r="A149" s="616"/>
      <c r="B149" s="576" t="s">
        <v>861</v>
      </c>
      <c r="C149" s="591"/>
      <c r="D149" s="617"/>
      <c r="E149" s="618"/>
      <c r="F149" s="619"/>
      <c r="G149" s="620"/>
      <c r="H149" s="619">
        <v>11.9</v>
      </c>
      <c r="I149" s="622"/>
      <c r="J149" s="623"/>
      <c r="K149" s="586">
        <f t="shared" si="0"/>
        <v>11.9</v>
      </c>
      <c r="L149" s="586"/>
      <c r="M149" s="571"/>
      <c r="N149" s="588">
        <v>1</v>
      </c>
      <c r="O149" s="543" t="s">
        <v>611</v>
      </c>
      <c r="P149" s="577">
        <v>2</v>
      </c>
      <c r="Q149" s="572"/>
      <c r="R149" s="573"/>
      <c r="S149" s="574"/>
      <c r="T149" s="574"/>
      <c r="U149" s="574"/>
      <c r="V149" s="574"/>
      <c r="W149" s="574"/>
      <c r="X149" s="572"/>
      <c r="Y149" s="572"/>
      <c r="Z149" s="572"/>
      <c r="AB149" s="573" t="s">
        <v>668</v>
      </c>
    </row>
    <row r="150" spans="1:28" s="575" customFormat="1">
      <c r="A150" s="616"/>
      <c r="B150" s="576" t="s">
        <v>862</v>
      </c>
      <c r="C150" s="591"/>
      <c r="D150" s="617"/>
      <c r="E150" s="618"/>
      <c r="F150" s="619"/>
      <c r="G150" s="620"/>
      <c r="H150" s="619">
        <v>11.9</v>
      </c>
      <c r="I150" s="622"/>
      <c r="J150" s="623"/>
      <c r="K150" s="586">
        <f t="shared" si="0"/>
        <v>11.9</v>
      </c>
      <c r="L150" s="586"/>
      <c r="M150" s="571"/>
      <c r="N150" s="588">
        <v>1</v>
      </c>
      <c r="O150" s="543" t="s">
        <v>611</v>
      </c>
      <c r="P150" s="577">
        <v>2</v>
      </c>
      <c r="Q150" s="572"/>
      <c r="R150" s="573"/>
      <c r="S150" s="574"/>
      <c r="T150" s="574"/>
      <c r="U150" s="574"/>
      <c r="V150" s="574"/>
      <c r="W150" s="574"/>
      <c r="X150" s="572"/>
      <c r="Y150" s="572"/>
      <c r="Z150" s="572"/>
      <c r="AB150" s="573" t="s">
        <v>668</v>
      </c>
    </row>
    <row r="151" spans="1:28" s="575" customFormat="1">
      <c r="A151" s="616"/>
      <c r="B151" s="576" t="s">
        <v>863</v>
      </c>
      <c r="C151" s="591"/>
      <c r="D151" s="617"/>
      <c r="E151" s="618"/>
      <c r="F151" s="619"/>
      <c r="G151" s="620"/>
      <c r="H151" s="619">
        <v>10.73</v>
      </c>
      <c r="I151" s="622"/>
      <c r="J151" s="623"/>
      <c r="K151" s="586">
        <f t="shared" si="0"/>
        <v>10.73</v>
      </c>
      <c r="L151" s="586"/>
      <c r="M151" s="571"/>
      <c r="N151" s="588">
        <v>1</v>
      </c>
      <c r="O151" s="543" t="s">
        <v>611</v>
      </c>
      <c r="P151" s="577">
        <v>2</v>
      </c>
      <c r="Q151" s="572"/>
      <c r="R151" s="573"/>
      <c r="S151" s="574"/>
      <c r="T151" s="574"/>
      <c r="U151" s="574"/>
      <c r="V151" s="574"/>
      <c r="W151" s="574"/>
      <c r="X151" s="572"/>
      <c r="Y151" s="572"/>
      <c r="Z151" s="572"/>
      <c r="AB151" s="573" t="s">
        <v>668</v>
      </c>
    </row>
    <row r="152" spans="1:28" s="575" customFormat="1">
      <c r="A152" s="616"/>
      <c r="B152" s="576" t="s">
        <v>864</v>
      </c>
      <c r="C152" s="591"/>
      <c r="D152" s="617"/>
      <c r="E152" s="618"/>
      <c r="F152" s="619"/>
      <c r="G152" s="620"/>
      <c r="H152" s="619">
        <v>3.17</v>
      </c>
      <c r="I152" s="622"/>
      <c r="J152" s="623"/>
      <c r="K152" s="586">
        <f t="shared" si="0"/>
        <v>3.17</v>
      </c>
      <c r="L152" s="586"/>
      <c r="M152" s="571"/>
      <c r="N152" s="588">
        <v>2</v>
      </c>
      <c r="O152" s="543" t="s">
        <v>611</v>
      </c>
      <c r="P152" s="577">
        <v>1</v>
      </c>
      <c r="Q152" s="572"/>
      <c r="R152" s="573"/>
      <c r="S152" s="574"/>
      <c r="T152" s="574"/>
      <c r="U152" s="574"/>
      <c r="V152" s="574"/>
      <c r="W152" s="574"/>
      <c r="X152" s="572"/>
      <c r="Y152" s="572"/>
      <c r="Z152" s="572"/>
      <c r="AB152" s="573" t="s">
        <v>668</v>
      </c>
    </row>
    <row r="153" spans="1:28" s="575" customFormat="1">
      <c r="A153" s="616"/>
      <c r="B153" s="576" t="s">
        <v>865</v>
      </c>
      <c r="C153" s="591"/>
      <c r="D153" s="617"/>
      <c r="E153" s="618"/>
      <c r="F153" s="619"/>
      <c r="G153" s="620"/>
      <c r="H153" s="619">
        <v>15.75</v>
      </c>
      <c r="I153" s="622"/>
      <c r="J153" s="623"/>
      <c r="K153" s="586">
        <f t="shared" si="0"/>
        <v>15.75</v>
      </c>
      <c r="L153" s="586"/>
      <c r="M153" s="571"/>
      <c r="N153" s="588">
        <v>1</v>
      </c>
      <c r="O153" s="543" t="s">
        <v>611</v>
      </c>
      <c r="P153" s="577">
        <v>2</v>
      </c>
      <c r="Q153" s="572"/>
      <c r="R153" s="573"/>
      <c r="S153" s="574"/>
      <c r="T153" s="574"/>
      <c r="U153" s="574"/>
      <c r="V153" s="574"/>
      <c r="W153" s="574"/>
      <c r="X153" s="572"/>
      <c r="Y153" s="572"/>
      <c r="Z153" s="572"/>
      <c r="AB153" s="573" t="s">
        <v>668</v>
      </c>
    </row>
    <row r="154" spans="1:28" s="575" customFormat="1">
      <c r="A154" s="616"/>
      <c r="B154" s="576" t="s">
        <v>809</v>
      </c>
      <c r="C154" s="591"/>
      <c r="D154" s="617"/>
      <c r="E154" s="618"/>
      <c r="F154" s="619"/>
      <c r="G154" s="620"/>
      <c r="H154" s="619">
        <v>20.190000000000001</v>
      </c>
      <c r="I154" s="622"/>
      <c r="J154" s="623"/>
      <c r="K154" s="586">
        <f t="shared" si="0"/>
        <v>20.190000000000001</v>
      </c>
      <c r="L154" s="586"/>
      <c r="M154" s="571"/>
      <c r="N154" s="588">
        <v>1</v>
      </c>
      <c r="O154" s="543" t="s">
        <v>611</v>
      </c>
      <c r="P154" s="577">
        <v>2</v>
      </c>
      <c r="Q154" s="572"/>
      <c r="R154" s="573"/>
      <c r="S154" s="574"/>
      <c r="T154" s="574"/>
      <c r="U154" s="574"/>
      <c r="V154" s="574"/>
      <c r="W154" s="574"/>
      <c r="X154" s="572"/>
      <c r="Y154" s="572"/>
      <c r="Z154" s="572"/>
      <c r="AB154" s="573" t="s">
        <v>668</v>
      </c>
    </row>
    <row r="155" spans="1:28" s="575" customFormat="1">
      <c r="A155" s="616"/>
      <c r="B155" s="576" t="s">
        <v>875</v>
      </c>
      <c r="C155" s="591"/>
      <c r="D155" s="617"/>
      <c r="E155" s="618"/>
      <c r="F155" s="619"/>
      <c r="G155" s="620"/>
      <c r="H155" s="621">
        <v>0.76</v>
      </c>
      <c r="I155" s="622"/>
      <c r="J155" s="623"/>
      <c r="K155" s="586">
        <f t="shared" si="0"/>
        <v>0.76</v>
      </c>
      <c r="L155" s="586"/>
      <c r="M155" s="571"/>
      <c r="N155" s="577" t="s">
        <v>874</v>
      </c>
      <c r="O155" s="577" t="s">
        <v>611</v>
      </c>
      <c r="P155" s="577">
        <v>2</v>
      </c>
      <c r="Q155" s="572"/>
      <c r="R155" s="573"/>
      <c r="S155" s="574"/>
      <c r="T155" s="574"/>
      <c r="U155" s="574"/>
      <c r="V155" s="574"/>
      <c r="W155" s="574"/>
      <c r="X155" s="572"/>
      <c r="Y155" s="572"/>
      <c r="Z155" s="572"/>
      <c r="AB155" s="573" t="s">
        <v>668</v>
      </c>
    </row>
    <row r="156" spans="1:28" s="575" customFormat="1">
      <c r="A156" s="616"/>
      <c r="B156" s="576" t="s">
        <v>866</v>
      </c>
      <c r="C156" s="591"/>
      <c r="D156" s="617"/>
      <c r="E156" s="618"/>
      <c r="F156" s="619"/>
      <c r="G156" s="620"/>
      <c r="H156" s="619">
        <v>6</v>
      </c>
      <c r="I156" s="622"/>
      <c r="J156" s="623"/>
      <c r="K156" s="586">
        <f t="shared" si="0"/>
        <v>6</v>
      </c>
      <c r="L156" s="586"/>
      <c r="M156" s="571"/>
      <c r="N156" s="588">
        <v>1</v>
      </c>
      <c r="O156" s="543" t="s">
        <v>611</v>
      </c>
      <c r="P156" s="577">
        <v>2</v>
      </c>
      <c r="Q156" s="572"/>
      <c r="R156" s="573"/>
      <c r="S156" s="574"/>
      <c r="T156" s="574"/>
      <c r="U156" s="574"/>
      <c r="V156" s="574"/>
      <c r="W156" s="574"/>
      <c r="X156" s="572"/>
      <c r="Y156" s="572"/>
      <c r="Z156" s="572"/>
      <c r="AB156" s="573"/>
    </row>
    <row r="157" spans="1:28" s="575" customFormat="1">
      <c r="A157" s="616"/>
      <c r="B157" s="576" t="s">
        <v>867</v>
      </c>
      <c r="C157" s="591"/>
      <c r="D157" s="617"/>
      <c r="E157" s="618"/>
      <c r="F157" s="619"/>
      <c r="G157" s="620"/>
      <c r="H157" s="619">
        <v>3.13</v>
      </c>
      <c r="I157" s="622"/>
      <c r="J157" s="623"/>
      <c r="K157" s="586">
        <f t="shared" si="0"/>
        <v>3.13</v>
      </c>
      <c r="L157" s="586"/>
      <c r="M157" s="571"/>
      <c r="N157" s="588">
        <v>2</v>
      </c>
      <c r="O157" s="543" t="s">
        <v>611</v>
      </c>
      <c r="P157" s="577">
        <v>1</v>
      </c>
      <c r="Q157" s="572"/>
      <c r="R157" s="573"/>
      <c r="S157" s="574"/>
      <c r="T157" s="574"/>
      <c r="U157" s="574"/>
      <c r="V157" s="574"/>
      <c r="W157" s="574"/>
      <c r="X157" s="572"/>
      <c r="Y157" s="572"/>
      <c r="Z157" s="572"/>
      <c r="AB157" s="573"/>
    </row>
    <row r="158" spans="1:28" s="575" customFormat="1">
      <c r="A158" s="616"/>
      <c r="B158" s="576" t="s">
        <v>868</v>
      </c>
      <c r="C158" s="591"/>
      <c r="D158" s="617"/>
      <c r="E158" s="618"/>
      <c r="F158" s="619"/>
      <c r="G158" s="620"/>
      <c r="H158" s="619">
        <v>30</v>
      </c>
      <c r="I158" s="622"/>
      <c r="J158" s="623"/>
      <c r="K158" s="586">
        <f t="shared" si="0"/>
        <v>30</v>
      </c>
      <c r="L158" s="586"/>
      <c r="M158" s="571"/>
      <c r="N158" s="588">
        <v>1</v>
      </c>
      <c r="O158" s="543" t="s">
        <v>611</v>
      </c>
      <c r="P158" s="577">
        <v>2</v>
      </c>
      <c r="Q158" s="572"/>
      <c r="R158" s="573"/>
      <c r="S158" s="574"/>
      <c r="T158" s="574"/>
      <c r="U158" s="574"/>
      <c r="V158" s="574"/>
      <c r="W158" s="574"/>
      <c r="X158" s="572"/>
      <c r="Y158" s="572"/>
      <c r="Z158" s="572"/>
      <c r="AB158" s="573" t="s">
        <v>668</v>
      </c>
    </row>
    <row r="159" spans="1:28" s="575" customFormat="1">
      <c r="A159" s="616"/>
      <c r="B159" s="576" t="s">
        <v>869</v>
      </c>
      <c r="C159" s="591"/>
      <c r="D159" s="617"/>
      <c r="E159" s="618"/>
      <c r="F159" s="619"/>
      <c r="G159" s="620"/>
      <c r="H159" s="619">
        <v>16.2</v>
      </c>
      <c r="I159" s="622"/>
      <c r="J159" s="623"/>
      <c r="K159" s="586">
        <f t="shared" si="0"/>
        <v>16.2</v>
      </c>
      <c r="L159" s="586"/>
      <c r="M159" s="571"/>
      <c r="N159" s="588">
        <v>1</v>
      </c>
      <c r="O159" s="543" t="s">
        <v>611</v>
      </c>
      <c r="P159" s="577">
        <v>2</v>
      </c>
      <c r="Q159" s="572"/>
      <c r="R159" s="573"/>
      <c r="S159" s="574"/>
      <c r="T159" s="574"/>
      <c r="U159" s="574"/>
      <c r="V159" s="574"/>
      <c r="W159" s="574"/>
      <c r="X159" s="572"/>
      <c r="Y159" s="572"/>
      <c r="Z159" s="572"/>
      <c r="AB159" s="573" t="s">
        <v>668</v>
      </c>
    </row>
    <row r="160" spans="1:28" s="575" customFormat="1">
      <c r="A160" s="616"/>
      <c r="B160" s="576" t="s">
        <v>816</v>
      </c>
      <c r="C160" s="591"/>
      <c r="D160" s="617"/>
      <c r="E160" s="618"/>
      <c r="F160" s="619"/>
      <c r="G160" s="620"/>
      <c r="H160" s="619">
        <v>3.6</v>
      </c>
      <c r="I160" s="622"/>
      <c r="J160" s="623"/>
      <c r="K160" s="586">
        <f t="shared" si="0"/>
        <v>3.6</v>
      </c>
      <c r="L160" s="586"/>
      <c r="M160" s="571"/>
      <c r="N160" s="588">
        <v>1</v>
      </c>
      <c r="O160" s="543" t="s">
        <v>611</v>
      </c>
      <c r="P160" s="577">
        <v>2</v>
      </c>
      <c r="Q160" s="572"/>
      <c r="R160" s="573"/>
      <c r="S160" s="574"/>
      <c r="T160" s="574"/>
      <c r="U160" s="574"/>
      <c r="V160" s="574"/>
      <c r="W160" s="574"/>
      <c r="X160" s="572"/>
      <c r="Y160" s="572"/>
      <c r="Z160" s="572"/>
      <c r="AB160" s="573" t="s">
        <v>668</v>
      </c>
    </row>
    <row r="161" spans="1:28" s="575" customFormat="1">
      <c r="A161" s="616"/>
      <c r="B161" s="576" t="s">
        <v>870</v>
      </c>
      <c r="C161" s="591"/>
      <c r="D161" s="617"/>
      <c r="E161" s="618"/>
      <c r="F161" s="619"/>
      <c r="G161" s="620"/>
      <c r="H161" s="619">
        <v>2.21</v>
      </c>
      <c r="I161" s="622"/>
      <c r="J161" s="623"/>
      <c r="K161" s="586">
        <f t="shared" si="0"/>
        <v>2.21</v>
      </c>
      <c r="L161" s="586"/>
      <c r="M161" s="571"/>
      <c r="N161" s="588">
        <v>2</v>
      </c>
      <c r="O161" s="543" t="s">
        <v>611</v>
      </c>
      <c r="P161" s="577">
        <v>1</v>
      </c>
      <c r="Q161" s="572"/>
      <c r="R161" s="573"/>
      <c r="S161" s="574"/>
      <c r="T161" s="574"/>
      <c r="U161" s="574"/>
      <c r="V161" s="574"/>
      <c r="W161" s="574"/>
      <c r="X161" s="572"/>
      <c r="Y161" s="572"/>
      <c r="Z161" s="572"/>
      <c r="AB161" s="573" t="s">
        <v>668</v>
      </c>
    </row>
    <row r="162" spans="1:28" s="575" customFormat="1">
      <c r="A162" s="616"/>
      <c r="B162" s="576" t="s">
        <v>172</v>
      </c>
      <c r="C162" s="591"/>
      <c r="D162" s="617"/>
      <c r="E162" s="618"/>
      <c r="F162" s="619"/>
      <c r="G162" s="620"/>
      <c r="H162" s="619">
        <v>4.1100000000000003</v>
      </c>
      <c r="I162" s="622"/>
      <c r="J162" s="623"/>
      <c r="K162" s="586">
        <f t="shared" si="0"/>
        <v>4.1100000000000003</v>
      </c>
      <c r="L162" s="586"/>
      <c r="M162" s="571"/>
      <c r="N162" s="482">
        <v>2</v>
      </c>
      <c r="O162" s="543" t="s">
        <v>611</v>
      </c>
      <c r="P162" s="543">
        <v>2</v>
      </c>
      <c r="Q162" s="572"/>
      <c r="R162" s="573"/>
      <c r="S162" s="574"/>
      <c r="T162" s="574"/>
      <c r="U162" s="574"/>
      <c r="V162" s="574"/>
      <c r="W162" s="574"/>
      <c r="X162" s="572"/>
      <c r="Y162" s="572"/>
      <c r="Z162" s="572"/>
      <c r="AB162" s="573" t="s">
        <v>668</v>
      </c>
    </row>
    <row r="163" spans="1:28" s="575" customFormat="1">
      <c r="A163" s="616"/>
      <c r="B163" s="576" t="s">
        <v>750</v>
      </c>
      <c r="C163" s="591"/>
      <c r="D163" s="617"/>
      <c r="E163" s="618"/>
      <c r="F163" s="619"/>
      <c r="G163" s="620"/>
      <c r="H163" s="619">
        <v>4.1100000000000003</v>
      </c>
      <c r="I163" s="622"/>
      <c r="J163" s="623"/>
      <c r="K163" s="586">
        <f>H163</f>
        <v>4.1100000000000003</v>
      </c>
      <c r="L163" s="586"/>
      <c r="M163" s="571"/>
      <c r="N163" s="482">
        <v>2</v>
      </c>
      <c r="O163" s="543" t="s">
        <v>611</v>
      </c>
      <c r="P163" s="543">
        <v>2</v>
      </c>
      <c r="Q163" s="572"/>
      <c r="R163" s="573"/>
      <c r="S163" s="574"/>
      <c r="T163" s="574"/>
      <c r="U163" s="574"/>
      <c r="V163" s="574"/>
      <c r="W163" s="574"/>
      <c r="X163" s="572"/>
      <c r="Y163" s="572"/>
      <c r="Z163" s="572"/>
      <c r="AB163" s="573" t="s">
        <v>668</v>
      </c>
    </row>
    <row r="164" spans="1:28" s="575" customFormat="1">
      <c r="A164" s="616"/>
      <c r="B164" s="591" t="s">
        <v>674</v>
      </c>
      <c r="C164" s="591"/>
      <c r="D164" s="617"/>
      <c r="E164" s="618"/>
      <c r="F164" s="619"/>
      <c r="G164" s="620"/>
      <c r="H164" s="622"/>
      <c r="I164" s="622"/>
      <c r="J164" s="623"/>
      <c r="K164" s="586"/>
      <c r="L164" s="586"/>
      <c r="M164" s="571"/>
      <c r="N164" s="577" t="s">
        <v>611</v>
      </c>
      <c r="O164" s="577" t="s">
        <v>611</v>
      </c>
      <c r="P164" s="577" t="s">
        <v>611</v>
      </c>
      <c r="Q164" s="572"/>
      <c r="R164" s="573"/>
      <c r="S164" s="574"/>
      <c r="T164" s="574"/>
      <c r="U164" s="574"/>
      <c r="V164" s="574"/>
      <c r="W164" s="574"/>
      <c r="X164" s="572"/>
      <c r="Y164" s="572"/>
      <c r="Z164" s="572"/>
      <c r="AB164" s="573" t="s">
        <v>668</v>
      </c>
    </row>
    <row r="165" spans="1:28" s="575" customFormat="1">
      <c r="A165" s="616"/>
      <c r="B165" s="576" t="s">
        <v>876</v>
      </c>
      <c r="C165" s="591"/>
      <c r="D165" s="617"/>
      <c r="E165" s="618"/>
      <c r="F165" s="619"/>
      <c r="G165" s="620"/>
      <c r="H165" s="622">
        <f>28.87+7.6+215.58</f>
        <v>252.05</v>
      </c>
      <c r="I165" s="622"/>
      <c r="J165" s="623"/>
      <c r="K165" s="586">
        <f t="shared" ref="K165:K173" si="1">H165</f>
        <v>252.05</v>
      </c>
      <c r="L165" s="586"/>
      <c r="M165" s="571"/>
      <c r="N165" s="588">
        <v>5</v>
      </c>
      <c r="O165" s="577" t="s">
        <v>611</v>
      </c>
      <c r="P165" s="577" t="s">
        <v>611</v>
      </c>
      <c r="Q165" s="572"/>
      <c r="R165" s="573"/>
      <c r="S165" s="574"/>
      <c r="T165" s="574"/>
      <c r="U165" s="574"/>
      <c r="V165" s="574"/>
      <c r="W165" s="574"/>
      <c r="X165" s="572"/>
      <c r="Y165" s="572"/>
      <c r="Z165" s="572"/>
      <c r="AB165" s="573" t="s">
        <v>668</v>
      </c>
    </row>
    <row r="166" spans="1:28" s="575" customFormat="1">
      <c r="A166" s="616"/>
      <c r="B166" s="576" t="s">
        <v>877</v>
      </c>
      <c r="C166" s="591"/>
      <c r="D166" s="617"/>
      <c r="E166" s="618"/>
      <c r="F166" s="619"/>
      <c r="G166" s="620"/>
      <c r="H166" s="622">
        <v>105.09</v>
      </c>
      <c r="I166" s="622"/>
      <c r="J166" s="623"/>
      <c r="K166" s="586">
        <f t="shared" si="1"/>
        <v>105.09</v>
      </c>
      <c r="L166" s="586"/>
      <c r="M166" s="571"/>
      <c r="N166" s="588">
        <v>5</v>
      </c>
      <c r="O166" s="577" t="s">
        <v>611</v>
      </c>
      <c r="P166" s="543" t="s">
        <v>611</v>
      </c>
      <c r="Q166" s="572"/>
      <c r="R166" s="573"/>
      <c r="S166" s="574"/>
      <c r="T166" s="574"/>
      <c r="U166" s="574"/>
      <c r="V166" s="574"/>
      <c r="W166" s="574"/>
      <c r="X166" s="572"/>
      <c r="Y166" s="572"/>
      <c r="Z166" s="572"/>
      <c r="AB166" s="573" t="s">
        <v>668</v>
      </c>
    </row>
    <row r="167" spans="1:28" s="575" customFormat="1">
      <c r="A167" s="616"/>
      <c r="B167" s="576" t="s">
        <v>878</v>
      </c>
      <c r="C167" s="591"/>
      <c r="D167" s="617"/>
      <c r="E167" s="618"/>
      <c r="F167" s="619"/>
      <c r="G167" s="620"/>
      <c r="H167" s="621">
        <v>2787.64</v>
      </c>
      <c r="I167" s="622"/>
      <c r="J167" s="623"/>
      <c r="K167" s="586">
        <f t="shared" si="1"/>
        <v>2787.64</v>
      </c>
      <c r="L167" s="586"/>
      <c r="M167" s="571"/>
      <c r="N167" s="588">
        <v>5</v>
      </c>
      <c r="O167" s="577" t="s">
        <v>611</v>
      </c>
      <c r="P167" s="577" t="s">
        <v>611</v>
      </c>
      <c r="Q167" s="572"/>
      <c r="R167" s="573"/>
      <c r="S167" s="574"/>
      <c r="T167" s="574"/>
      <c r="U167" s="574"/>
      <c r="V167" s="574"/>
      <c r="W167" s="574"/>
      <c r="X167" s="572"/>
      <c r="Y167" s="572"/>
      <c r="Z167" s="572"/>
      <c r="AB167" s="573" t="s">
        <v>668</v>
      </c>
    </row>
    <row r="168" spans="1:28" s="575" customFormat="1">
      <c r="A168" s="616"/>
      <c r="B168" s="576" t="s">
        <v>871</v>
      </c>
      <c r="C168" s="591"/>
      <c r="D168" s="617"/>
      <c r="E168" s="618"/>
      <c r="F168" s="619"/>
      <c r="G168" s="620"/>
      <c r="H168" s="621">
        <v>298.73</v>
      </c>
      <c r="I168" s="622"/>
      <c r="J168" s="623"/>
      <c r="K168" s="586">
        <f t="shared" si="1"/>
        <v>298.73</v>
      </c>
      <c r="L168" s="586"/>
      <c r="M168" s="571"/>
      <c r="N168" s="588">
        <v>3</v>
      </c>
      <c r="O168" s="577" t="s">
        <v>611</v>
      </c>
      <c r="P168" s="577" t="s">
        <v>611</v>
      </c>
      <c r="Q168" s="572"/>
      <c r="R168" s="573"/>
      <c r="S168" s="574"/>
      <c r="T168" s="574"/>
      <c r="U168" s="574"/>
      <c r="V168" s="574"/>
      <c r="W168" s="574"/>
      <c r="X168" s="572"/>
      <c r="Y168" s="572"/>
      <c r="Z168" s="572"/>
      <c r="AB168" s="573" t="s">
        <v>668</v>
      </c>
    </row>
    <row r="169" spans="1:28" s="575" customFormat="1">
      <c r="A169" s="616"/>
      <c r="B169" s="576" t="s">
        <v>872</v>
      </c>
      <c r="C169" s="591"/>
      <c r="D169" s="617"/>
      <c r="E169" s="618"/>
      <c r="F169" s="619"/>
      <c r="G169" s="620"/>
      <c r="H169" s="621">
        <v>213.5</v>
      </c>
      <c r="I169" s="622"/>
      <c r="J169" s="623"/>
      <c r="K169" s="586">
        <f t="shared" si="1"/>
        <v>213.5</v>
      </c>
      <c r="L169" s="586"/>
      <c r="M169" s="571"/>
      <c r="N169" s="588">
        <v>3</v>
      </c>
      <c r="O169" s="577" t="s">
        <v>611</v>
      </c>
      <c r="P169" s="577" t="s">
        <v>611</v>
      </c>
      <c r="Q169" s="572"/>
      <c r="R169" s="573"/>
      <c r="S169" s="574"/>
      <c r="T169" s="574"/>
      <c r="U169" s="574"/>
      <c r="V169" s="574"/>
      <c r="W169" s="574"/>
      <c r="X169" s="572"/>
      <c r="Y169" s="572"/>
      <c r="Z169" s="572"/>
      <c r="AB169" s="573" t="s">
        <v>668</v>
      </c>
    </row>
    <row r="170" spans="1:28" s="575" customFormat="1">
      <c r="A170" s="616"/>
      <c r="B170" s="576" t="s">
        <v>770</v>
      </c>
      <c r="C170" s="591"/>
      <c r="D170" s="617"/>
      <c r="E170" s="618"/>
      <c r="F170" s="619"/>
      <c r="G170" s="620"/>
      <c r="H170" s="621">
        <v>10.130000000000001</v>
      </c>
      <c r="I170" s="622"/>
      <c r="J170" s="623"/>
      <c r="K170" s="586">
        <f t="shared" si="1"/>
        <v>10.130000000000001</v>
      </c>
      <c r="L170" s="586"/>
      <c r="M170" s="571"/>
      <c r="N170" s="588">
        <v>3</v>
      </c>
      <c r="O170" s="577" t="s">
        <v>611</v>
      </c>
      <c r="P170" s="577" t="s">
        <v>611</v>
      </c>
      <c r="Q170" s="572"/>
      <c r="R170" s="573"/>
      <c r="S170" s="574"/>
      <c r="T170" s="574"/>
      <c r="U170" s="574"/>
      <c r="V170" s="574"/>
      <c r="W170" s="574"/>
      <c r="X170" s="572"/>
      <c r="Y170" s="572"/>
      <c r="Z170" s="572"/>
      <c r="AB170" s="573" t="s">
        <v>668</v>
      </c>
    </row>
    <row r="171" spans="1:28" s="575" customFormat="1">
      <c r="A171" s="616"/>
      <c r="B171" s="576" t="s">
        <v>771</v>
      </c>
      <c r="C171" s="591"/>
      <c r="D171" s="617"/>
      <c r="E171" s="618"/>
      <c r="F171" s="619"/>
      <c r="G171" s="620"/>
      <c r="H171" s="621">
        <f>6.33+5.74+8.63</f>
        <v>20.700000000000003</v>
      </c>
      <c r="I171" s="622"/>
      <c r="J171" s="623"/>
      <c r="K171" s="586">
        <f t="shared" si="1"/>
        <v>20.700000000000003</v>
      </c>
      <c r="L171" s="586"/>
      <c r="M171" s="571"/>
      <c r="N171" s="588">
        <v>3</v>
      </c>
      <c r="O171" s="577" t="s">
        <v>611</v>
      </c>
      <c r="P171" s="577" t="s">
        <v>611</v>
      </c>
      <c r="Q171" s="572"/>
      <c r="R171" s="573"/>
      <c r="S171" s="574"/>
      <c r="T171" s="574"/>
      <c r="U171" s="574"/>
      <c r="V171" s="574"/>
      <c r="W171" s="574"/>
      <c r="X171" s="572"/>
      <c r="Y171" s="572"/>
      <c r="Z171" s="572"/>
      <c r="AB171" s="573" t="s">
        <v>668</v>
      </c>
    </row>
    <row r="172" spans="1:28" s="575" customFormat="1">
      <c r="A172" s="616"/>
      <c r="B172" s="576" t="s">
        <v>873</v>
      </c>
      <c r="C172" s="591"/>
      <c r="D172" s="617"/>
      <c r="E172" s="618"/>
      <c r="F172" s="619"/>
      <c r="G172" s="620"/>
      <c r="H172" s="621">
        <v>446.54</v>
      </c>
      <c r="I172" s="622"/>
      <c r="J172" s="623"/>
      <c r="K172" s="586">
        <f t="shared" si="1"/>
        <v>446.54</v>
      </c>
      <c r="L172" s="586"/>
      <c r="M172" s="571"/>
      <c r="N172" s="588">
        <v>3</v>
      </c>
      <c r="O172" s="577" t="s">
        <v>611</v>
      </c>
      <c r="P172" s="577" t="s">
        <v>611</v>
      </c>
      <c r="Q172" s="572"/>
      <c r="R172" s="573"/>
      <c r="S172" s="574"/>
      <c r="T172" s="574"/>
      <c r="U172" s="574"/>
      <c r="V172" s="574"/>
      <c r="W172" s="574"/>
      <c r="X172" s="572"/>
      <c r="Y172" s="572"/>
      <c r="Z172" s="572"/>
      <c r="AB172" s="573" t="s">
        <v>668</v>
      </c>
    </row>
    <row r="173" spans="1:28" s="575" customFormat="1">
      <c r="A173" s="616"/>
      <c r="B173" s="576" t="s">
        <v>994</v>
      </c>
      <c r="C173" s="591"/>
      <c r="D173" s="617"/>
      <c r="E173" s="618"/>
      <c r="F173" s="619"/>
      <c r="G173" s="620"/>
      <c r="H173" s="621">
        <v>1171.21</v>
      </c>
      <c r="I173" s="622"/>
      <c r="J173" s="623"/>
      <c r="K173" s="586">
        <f t="shared" si="1"/>
        <v>1171.21</v>
      </c>
      <c r="L173" s="586"/>
      <c r="M173" s="571"/>
      <c r="N173" s="588">
        <v>4</v>
      </c>
      <c r="O173" s="577" t="s">
        <v>611</v>
      </c>
      <c r="P173" s="577" t="s">
        <v>611</v>
      </c>
      <c r="Q173" s="572"/>
      <c r="R173" s="573"/>
      <c r="S173" s="574"/>
      <c r="T173" s="574"/>
      <c r="U173" s="574"/>
      <c r="V173" s="574"/>
      <c r="W173" s="574"/>
      <c r="X173" s="572"/>
      <c r="Y173" s="572"/>
      <c r="Z173" s="572"/>
      <c r="AB173" s="573" t="s">
        <v>668</v>
      </c>
    </row>
    <row r="174" spans="1:28" s="478" customFormat="1">
      <c r="A174" s="463"/>
      <c r="B174" s="464" t="s">
        <v>754</v>
      </c>
      <c r="C174" s="465"/>
      <c r="D174" s="466"/>
      <c r="E174" s="467"/>
      <c r="F174" s="468"/>
      <c r="G174" s="469"/>
      <c r="H174" s="470"/>
      <c r="I174" s="471"/>
      <c r="J174" s="472"/>
      <c r="K174" s="473"/>
      <c r="L174" s="473"/>
      <c r="M174" s="474"/>
      <c r="N174" s="481" t="s">
        <v>55</v>
      </c>
      <c r="O174" s="481" t="s">
        <v>202</v>
      </c>
      <c r="P174" s="481" t="s">
        <v>181</v>
      </c>
      <c r="Q174" s="475"/>
      <c r="R174" s="476"/>
      <c r="S174" s="477"/>
      <c r="T174" s="477"/>
      <c r="U174" s="477"/>
      <c r="V174" s="477"/>
      <c r="W174" s="477"/>
      <c r="X174" s="475"/>
      <c r="Y174" s="475"/>
      <c r="Z174" s="475"/>
      <c r="AB174" s="476"/>
    </row>
    <row r="175" spans="1:28" s="575" customFormat="1">
      <c r="A175" s="616"/>
      <c r="B175" s="570" t="s">
        <v>669</v>
      </c>
      <c r="C175" s="591"/>
      <c r="D175" s="617"/>
      <c r="E175" s="618"/>
      <c r="F175" s="619"/>
      <c r="G175" s="620"/>
      <c r="H175" s="621"/>
      <c r="I175" s="622"/>
      <c r="J175" s="623"/>
      <c r="K175" s="586"/>
      <c r="L175" s="586"/>
      <c r="M175" s="571"/>
      <c r="N175" s="577" t="s">
        <v>611</v>
      </c>
      <c r="O175" s="577" t="s">
        <v>611</v>
      </c>
      <c r="P175" s="577" t="s">
        <v>611</v>
      </c>
      <c r="Q175" s="572"/>
      <c r="R175" s="573"/>
      <c r="S175" s="574"/>
      <c r="T175" s="574"/>
      <c r="U175" s="574"/>
      <c r="V175" s="574"/>
      <c r="W175" s="574"/>
      <c r="X175" s="572"/>
      <c r="Y175" s="572"/>
      <c r="Z175" s="572"/>
      <c r="AB175" s="573" t="s">
        <v>668</v>
      </c>
    </row>
    <row r="176" spans="1:28" s="575" customFormat="1">
      <c r="A176" s="616"/>
      <c r="B176" s="591" t="s">
        <v>666</v>
      </c>
      <c r="C176" s="591"/>
      <c r="D176" s="617"/>
      <c r="E176" s="618"/>
      <c r="F176" s="619"/>
      <c r="G176" s="620"/>
      <c r="H176" s="622"/>
      <c r="I176" s="622"/>
      <c r="J176" s="623"/>
      <c r="K176" s="586">
        <f t="shared" ref="K176:K228" si="2">H176</f>
        <v>0</v>
      </c>
      <c r="L176" s="586"/>
      <c r="M176" s="571"/>
      <c r="N176" s="577" t="s">
        <v>611</v>
      </c>
      <c r="O176" s="577" t="s">
        <v>611</v>
      </c>
      <c r="P176" s="577" t="s">
        <v>611</v>
      </c>
      <c r="Q176" s="572"/>
      <c r="R176" s="573"/>
      <c r="S176" s="574"/>
      <c r="T176" s="574"/>
      <c r="U176" s="574"/>
      <c r="V176" s="574"/>
      <c r="W176" s="574"/>
      <c r="X176" s="572"/>
      <c r="Y176" s="572"/>
      <c r="Z176" s="572"/>
      <c r="AB176" s="573" t="s">
        <v>668</v>
      </c>
    </row>
    <row r="177" spans="1:28" s="575" customFormat="1">
      <c r="A177" s="616"/>
      <c r="B177" s="576" t="s">
        <v>193</v>
      </c>
      <c r="C177" s="591"/>
      <c r="D177" s="617"/>
      <c r="E177" s="618">
        <v>20.239999999999998</v>
      </c>
      <c r="F177" s="619"/>
      <c r="G177" s="620">
        <v>2.8</v>
      </c>
      <c r="H177" s="621">
        <f>G177*E177</f>
        <v>56.67199999999999</v>
      </c>
      <c r="I177" s="622"/>
      <c r="J177" s="623"/>
      <c r="K177" s="586">
        <f t="shared" si="2"/>
        <v>56.67199999999999</v>
      </c>
      <c r="L177" s="586"/>
      <c r="M177" s="571"/>
      <c r="N177" s="577" t="s">
        <v>611</v>
      </c>
      <c r="O177" s="577">
        <v>1</v>
      </c>
      <c r="P177" s="577" t="s">
        <v>611</v>
      </c>
      <c r="Q177" s="572"/>
      <c r="R177" s="573"/>
      <c r="S177" s="574"/>
      <c r="T177" s="574"/>
      <c r="U177" s="574"/>
      <c r="V177" s="574"/>
      <c r="W177" s="574"/>
      <c r="X177" s="572"/>
      <c r="Y177" s="572"/>
      <c r="Z177" s="572"/>
      <c r="AB177" s="573" t="s">
        <v>668</v>
      </c>
    </row>
    <row r="178" spans="1:28" s="599" customFormat="1" ht="20.25">
      <c r="A178" s="624"/>
      <c r="B178" s="592" t="s">
        <v>889</v>
      </c>
      <c r="C178" s="625"/>
      <c r="D178" s="626">
        <v>-1</v>
      </c>
      <c r="E178" s="627">
        <f>VLOOKUP(B178,'[10]auxiliar memoria'!$B$155:$E$302,2,FALSE)</f>
        <v>5.84</v>
      </c>
      <c r="F178" s="628"/>
      <c r="G178" s="629">
        <f>VLOOKUP(B178,'[10]auxiliar memoria'!$B$155:$E$302,3,FALSE)</f>
        <v>2.1</v>
      </c>
      <c r="H178" s="629">
        <f>IF(D178=0,"",IF(AND(D178&lt;0,E178*G178&gt;2),(ABS((2-(G178*E178)))*D178),IF(D178&gt;0,D178*E178*G178,0)))</f>
        <v>-10.263999999999999</v>
      </c>
      <c r="I178" s="630"/>
      <c r="J178" s="631"/>
      <c r="K178" s="593">
        <f>H178</f>
        <v>-10.263999999999999</v>
      </c>
      <c r="L178" s="593"/>
      <c r="M178" s="594"/>
      <c r="N178" s="595" t="s">
        <v>611</v>
      </c>
      <c r="O178" s="595">
        <f t="shared" ref="O178:O181" si="3">O177</f>
        <v>1</v>
      </c>
      <c r="P178" s="595" t="s">
        <v>611</v>
      </c>
      <c r="Q178" s="596"/>
      <c r="R178" s="597"/>
      <c r="S178" s="598"/>
      <c r="T178" s="598"/>
      <c r="U178" s="598"/>
      <c r="V178" s="598"/>
      <c r="W178" s="598"/>
      <c r="X178" s="596"/>
      <c r="Y178" s="596"/>
      <c r="Z178" s="596"/>
      <c r="AB178" s="597" t="s">
        <v>668</v>
      </c>
    </row>
    <row r="179" spans="1:28" s="599" customFormat="1" ht="20.25">
      <c r="A179" s="624"/>
      <c r="B179" s="592" t="s">
        <v>890</v>
      </c>
      <c r="C179" s="625"/>
      <c r="D179" s="626">
        <v>-1</v>
      </c>
      <c r="E179" s="627">
        <f>VLOOKUP(B179,'[10]auxiliar memoria'!$B$155:$E$302,2,FALSE)</f>
        <v>1.8</v>
      </c>
      <c r="F179" s="628"/>
      <c r="G179" s="629">
        <f>VLOOKUP(B179,'[10]auxiliar memoria'!$B$155:$E$302,3,FALSE)</f>
        <v>2.1</v>
      </c>
      <c r="H179" s="629">
        <f>IF(D179=0,"",IF(AND(D179&lt;0,E179*G179&gt;2),(ABS((2-(G179*E179)))*D179),IF(D179&gt;0,D179*E179*G179,0)))</f>
        <v>-1.7800000000000002</v>
      </c>
      <c r="I179" s="630"/>
      <c r="J179" s="631"/>
      <c r="K179" s="593">
        <f>H179</f>
        <v>-1.7800000000000002</v>
      </c>
      <c r="L179" s="593"/>
      <c r="M179" s="594"/>
      <c r="N179" s="595" t="s">
        <v>611</v>
      </c>
      <c r="O179" s="595">
        <f t="shared" si="3"/>
        <v>1</v>
      </c>
      <c r="P179" s="595" t="s">
        <v>611</v>
      </c>
      <c r="Q179" s="596"/>
      <c r="R179" s="597"/>
      <c r="S179" s="598"/>
      <c r="T179" s="598"/>
      <c r="U179" s="598"/>
      <c r="V179" s="598"/>
      <c r="W179" s="598"/>
      <c r="X179" s="596"/>
      <c r="Y179" s="596"/>
      <c r="Z179" s="596"/>
      <c r="AB179" s="597" t="s">
        <v>668</v>
      </c>
    </row>
    <row r="180" spans="1:28" s="599" customFormat="1" ht="20.25">
      <c r="A180" s="624"/>
      <c r="B180" s="592" t="s">
        <v>835</v>
      </c>
      <c r="C180" s="625"/>
      <c r="D180" s="626">
        <v>-1</v>
      </c>
      <c r="E180" s="627">
        <f>VLOOKUP(B180,'[10]auxiliar memoria'!$B$155:$E$302,2,FALSE)</f>
        <v>1</v>
      </c>
      <c r="F180" s="628"/>
      <c r="G180" s="629">
        <f>VLOOKUP(B180,'[10]auxiliar memoria'!$B$155:$E$302,3,FALSE)</f>
        <v>2.1</v>
      </c>
      <c r="H180" s="629">
        <f>IF(D180=0,"",IF(AND(D180&lt;0,E180*G180&gt;2),(ABS((2-(G180*E180)))*D180),IF(D180&gt;0,D180*E180*G180,0)))</f>
        <v>-0.10000000000000009</v>
      </c>
      <c r="I180" s="630"/>
      <c r="J180" s="631"/>
      <c r="K180" s="593">
        <f>H180</f>
        <v>-0.10000000000000009</v>
      </c>
      <c r="L180" s="593"/>
      <c r="M180" s="594"/>
      <c r="N180" s="595" t="s">
        <v>611</v>
      </c>
      <c r="O180" s="595">
        <f t="shared" si="3"/>
        <v>1</v>
      </c>
      <c r="P180" s="595" t="s">
        <v>611</v>
      </c>
      <c r="Q180" s="596"/>
      <c r="R180" s="597"/>
      <c r="S180" s="598"/>
      <c r="T180" s="598"/>
      <c r="U180" s="598"/>
      <c r="V180" s="598"/>
      <c r="W180" s="598"/>
      <c r="X180" s="596"/>
      <c r="Y180" s="596"/>
      <c r="Z180" s="596"/>
      <c r="AB180" s="597" t="s">
        <v>668</v>
      </c>
    </row>
    <row r="181" spans="1:28" s="599" customFormat="1" ht="20.25">
      <c r="A181" s="624"/>
      <c r="B181" s="592" t="s">
        <v>688</v>
      </c>
      <c r="C181" s="625"/>
      <c r="D181" s="626">
        <v>-1</v>
      </c>
      <c r="E181" s="627">
        <f>VLOOKUP(B181,'[10]auxiliar memoria'!$B$155:$E$302,2,FALSE)</f>
        <v>3.55</v>
      </c>
      <c r="F181" s="628"/>
      <c r="G181" s="629">
        <f>VLOOKUP(B181,'[10]auxiliar memoria'!$B$155:$E$302,3,FALSE)</f>
        <v>1</v>
      </c>
      <c r="H181" s="629">
        <f>IF(D181=0,"",IF(AND(D181&lt;0,E181*G181&gt;2),(ABS((2-(G181*E181)))*D181),IF(D181&gt;0,D181*E181*G181,0)))</f>
        <v>-1.5499999999999998</v>
      </c>
      <c r="I181" s="630"/>
      <c r="J181" s="631"/>
      <c r="K181" s="593">
        <f>H181</f>
        <v>-1.5499999999999998</v>
      </c>
      <c r="L181" s="593"/>
      <c r="M181" s="594"/>
      <c r="N181" s="595" t="s">
        <v>611</v>
      </c>
      <c r="O181" s="595">
        <f t="shared" si="3"/>
        <v>1</v>
      </c>
      <c r="P181" s="595" t="s">
        <v>611</v>
      </c>
      <c r="Q181" s="596"/>
      <c r="R181" s="597"/>
      <c r="S181" s="598"/>
      <c r="T181" s="598"/>
      <c r="U181" s="598"/>
      <c r="V181" s="598"/>
      <c r="W181" s="598"/>
      <c r="X181" s="596"/>
      <c r="Y181" s="596"/>
      <c r="Z181" s="596"/>
      <c r="AB181" s="597" t="s">
        <v>668</v>
      </c>
    </row>
    <row r="182" spans="1:28" s="575" customFormat="1">
      <c r="A182" s="616"/>
      <c r="B182" s="576" t="s">
        <v>842</v>
      </c>
      <c r="C182" s="591"/>
      <c r="D182" s="617"/>
      <c r="E182" s="618">
        <v>12.4</v>
      </c>
      <c r="F182" s="619"/>
      <c r="G182" s="620">
        <v>3</v>
      </c>
      <c r="H182" s="621">
        <f t="shared" ref="H182:H228" si="4">G182*E182</f>
        <v>37.200000000000003</v>
      </c>
      <c r="I182" s="622"/>
      <c r="J182" s="623"/>
      <c r="K182" s="586">
        <f t="shared" si="2"/>
        <v>37.200000000000003</v>
      </c>
      <c r="L182" s="586"/>
      <c r="M182" s="571"/>
      <c r="N182" s="577" t="s">
        <v>611</v>
      </c>
      <c r="O182" s="577">
        <v>1</v>
      </c>
      <c r="P182" s="577" t="s">
        <v>611</v>
      </c>
      <c r="Q182" s="572"/>
      <c r="R182" s="573"/>
      <c r="S182" s="574"/>
      <c r="T182" s="574"/>
      <c r="U182" s="574"/>
      <c r="V182" s="574"/>
      <c r="W182" s="574"/>
      <c r="X182" s="572"/>
      <c r="Y182" s="572"/>
      <c r="Z182" s="572"/>
      <c r="AB182" s="573" t="s">
        <v>668</v>
      </c>
    </row>
    <row r="183" spans="1:28" s="599" customFormat="1" ht="20.25">
      <c r="A183" s="624"/>
      <c r="B183" s="592" t="s">
        <v>688</v>
      </c>
      <c r="C183" s="625"/>
      <c r="D183" s="626">
        <v>-1</v>
      </c>
      <c r="E183" s="627">
        <f>VLOOKUP(B183,'[10]auxiliar memoria'!$B$155:$E$302,2,FALSE)</f>
        <v>3.55</v>
      </c>
      <c r="F183" s="628"/>
      <c r="G183" s="629">
        <f>VLOOKUP(B183,'[10]auxiliar memoria'!$B$155:$E$302,3,FALSE)</f>
        <v>1</v>
      </c>
      <c r="H183" s="629">
        <f>IF(D183=0,"",IF(AND(D183&lt;0,E183*G183&gt;2),(ABS((2-(G183*E183)))*D183),IF(D183&gt;0,D183*E183*G183,0)))</f>
        <v>-1.5499999999999998</v>
      </c>
      <c r="I183" s="630"/>
      <c r="J183" s="631"/>
      <c r="K183" s="593">
        <f>H183</f>
        <v>-1.5499999999999998</v>
      </c>
      <c r="L183" s="593"/>
      <c r="M183" s="594"/>
      <c r="N183" s="595" t="s">
        <v>611</v>
      </c>
      <c r="O183" s="595">
        <f>O182</f>
        <v>1</v>
      </c>
      <c r="P183" s="595" t="s">
        <v>611</v>
      </c>
      <c r="Q183" s="596"/>
      <c r="R183" s="597"/>
      <c r="S183" s="598"/>
      <c r="T183" s="598"/>
      <c r="U183" s="598"/>
      <c r="V183" s="598"/>
      <c r="W183" s="598"/>
      <c r="X183" s="596"/>
      <c r="Y183" s="596"/>
      <c r="Z183" s="596"/>
      <c r="AB183" s="597" t="s">
        <v>668</v>
      </c>
    </row>
    <row r="184" spans="1:28" s="575" customFormat="1">
      <c r="A184" s="616"/>
      <c r="B184" s="576" t="s">
        <v>843</v>
      </c>
      <c r="C184" s="591"/>
      <c r="D184" s="617"/>
      <c r="E184" s="618">
        <v>31.1</v>
      </c>
      <c r="F184" s="619"/>
      <c r="G184" s="620">
        <v>3</v>
      </c>
      <c r="H184" s="621">
        <f t="shared" si="4"/>
        <v>93.300000000000011</v>
      </c>
      <c r="I184" s="622"/>
      <c r="J184" s="623"/>
      <c r="K184" s="586">
        <f t="shared" si="2"/>
        <v>93.300000000000011</v>
      </c>
      <c r="L184" s="586"/>
      <c r="M184" s="571"/>
      <c r="N184" s="577" t="s">
        <v>611</v>
      </c>
      <c r="O184" s="577">
        <v>1</v>
      </c>
      <c r="P184" s="577" t="s">
        <v>611</v>
      </c>
      <c r="Q184" s="572"/>
      <c r="R184" s="573"/>
      <c r="S184" s="574"/>
      <c r="T184" s="574"/>
      <c r="U184" s="574"/>
      <c r="V184" s="574"/>
      <c r="W184" s="574"/>
      <c r="X184" s="572"/>
      <c r="Y184" s="572"/>
      <c r="Z184" s="572"/>
      <c r="AB184" s="573" t="s">
        <v>668</v>
      </c>
    </row>
    <row r="185" spans="1:28" s="575" customFormat="1">
      <c r="A185" s="616"/>
      <c r="B185" s="576" t="s">
        <v>748</v>
      </c>
      <c r="C185" s="591"/>
      <c r="D185" s="617"/>
      <c r="E185" s="618">
        <v>16.7</v>
      </c>
      <c r="F185" s="619"/>
      <c r="G185" s="620">
        <v>3</v>
      </c>
      <c r="H185" s="621">
        <f t="shared" si="4"/>
        <v>50.099999999999994</v>
      </c>
      <c r="I185" s="622"/>
      <c r="J185" s="623"/>
      <c r="K185" s="586">
        <f t="shared" si="2"/>
        <v>50.099999999999994</v>
      </c>
      <c r="L185" s="586"/>
      <c r="M185" s="571"/>
      <c r="N185" s="577" t="s">
        <v>611</v>
      </c>
      <c r="O185" s="577">
        <v>2</v>
      </c>
      <c r="P185" s="577" t="s">
        <v>611</v>
      </c>
      <c r="Q185" s="572"/>
      <c r="R185" s="573"/>
      <c r="S185" s="574"/>
      <c r="T185" s="574"/>
      <c r="U185" s="574"/>
      <c r="V185" s="574"/>
      <c r="W185" s="574"/>
      <c r="X185" s="572"/>
      <c r="Y185" s="572"/>
      <c r="Z185" s="572"/>
      <c r="AB185" s="573" t="s">
        <v>668</v>
      </c>
    </row>
    <row r="186" spans="1:28" s="575" customFormat="1">
      <c r="A186" s="616"/>
      <c r="B186" s="576" t="s">
        <v>749</v>
      </c>
      <c r="C186" s="591"/>
      <c r="D186" s="617"/>
      <c r="E186" s="618">
        <v>16.7</v>
      </c>
      <c r="F186" s="619"/>
      <c r="G186" s="620">
        <v>3</v>
      </c>
      <c r="H186" s="621">
        <f t="shared" si="4"/>
        <v>50.099999999999994</v>
      </c>
      <c r="I186" s="622"/>
      <c r="J186" s="623"/>
      <c r="K186" s="586">
        <f t="shared" si="2"/>
        <v>50.099999999999994</v>
      </c>
      <c r="L186" s="586"/>
      <c r="M186" s="571"/>
      <c r="N186" s="577" t="s">
        <v>611</v>
      </c>
      <c r="O186" s="577">
        <v>2</v>
      </c>
      <c r="P186" s="577" t="s">
        <v>611</v>
      </c>
      <c r="Q186" s="572"/>
      <c r="R186" s="573"/>
      <c r="S186" s="574"/>
      <c r="T186" s="574"/>
      <c r="U186" s="574"/>
      <c r="V186" s="574"/>
      <c r="W186" s="574"/>
      <c r="X186" s="572"/>
      <c r="Y186" s="572"/>
      <c r="Z186" s="572"/>
      <c r="AB186" s="573" t="s">
        <v>668</v>
      </c>
    </row>
    <row r="187" spans="1:28" s="575" customFormat="1">
      <c r="A187" s="616"/>
      <c r="B187" s="576" t="s">
        <v>844</v>
      </c>
      <c r="C187" s="591"/>
      <c r="D187" s="617"/>
      <c r="E187" s="618">
        <v>11.3</v>
      </c>
      <c r="F187" s="619"/>
      <c r="G187" s="620">
        <v>3</v>
      </c>
      <c r="H187" s="621">
        <f t="shared" si="4"/>
        <v>33.900000000000006</v>
      </c>
      <c r="I187" s="622"/>
      <c r="J187" s="623"/>
      <c r="K187" s="586">
        <f t="shared" si="2"/>
        <v>33.900000000000006</v>
      </c>
      <c r="L187" s="586"/>
      <c r="M187" s="571"/>
      <c r="N187" s="577" t="s">
        <v>611</v>
      </c>
      <c r="O187" s="577">
        <v>1</v>
      </c>
      <c r="P187" s="577" t="s">
        <v>611</v>
      </c>
      <c r="Q187" s="572"/>
      <c r="R187" s="573"/>
      <c r="S187" s="574"/>
      <c r="T187" s="574"/>
      <c r="U187" s="574"/>
      <c r="V187" s="574"/>
      <c r="W187" s="574"/>
      <c r="X187" s="572"/>
      <c r="Y187" s="572"/>
      <c r="Z187" s="572"/>
      <c r="AB187" s="573" t="s">
        <v>668</v>
      </c>
    </row>
    <row r="188" spans="1:28" s="575" customFormat="1">
      <c r="A188" s="616"/>
      <c r="B188" s="576" t="s">
        <v>782</v>
      </c>
      <c r="C188" s="591"/>
      <c r="D188" s="617"/>
      <c r="E188" s="618">
        <v>30.4</v>
      </c>
      <c r="F188" s="619"/>
      <c r="G188" s="620">
        <v>3</v>
      </c>
      <c r="H188" s="621">
        <f t="shared" si="4"/>
        <v>91.199999999999989</v>
      </c>
      <c r="I188" s="622"/>
      <c r="J188" s="623"/>
      <c r="K188" s="586">
        <f t="shared" si="2"/>
        <v>91.199999999999989</v>
      </c>
      <c r="L188" s="586"/>
      <c r="M188" s="571"/>
      <c r="N188" s="577" t="s">
        <v>611</v>
      </c>
      <c r="O188" s="577">
        <v>4</v>
      </c>
      <c r="P188" s="577" t="s">
        <v>611</v>
      </c>
      <c r="Q188" s="572"/>
      <c r="R188" s="573"/>
      <c r="S188" s="574"/>
      <c r="T188" s="574"/>
      <c r="U188" s="574"/>
      <c r="V188" s="574"/>
      <c r="W188" s="574"/>
      <c r="X188" s="572"/>
      <c r="Y188" s="572"/>
      <c r="Z188" s="572"/>
      <c r="AB188" s="573" t="s">
        <v>668</v>
      </c>
    </row>
    <row r="189" spans="1:28" s="599" customFormat="1" ht="20.25">
      <c r="A189" s="624"/>
      <c r="B189" s="592" t="s">
        <v>835</v>
      </c>
      <c r="C189" s="625"/>
      <c r="D189" s="626">
        <v>-2</v>
      </c>
      <c r="E189" s="627">
        <f>VLOOKUP(B189,'[10]auxiliar memoria'!$B$155:$E$302,2,FALSE)</f>
        <v>1</v>
      </c>
      <c r="F189" s="628"/>
      <c r="G189" s="629">
        <f>VLOOKUP(B189,'[10]auxiliar memoria'!$B$155:$E$302,3,FALSE)</f>
        <v>2.1</v>
      </c>
      <c r="H189" s="629">
        <f>IF(D189=0,"",IF(AND(D189&lt;0,E189*G189&gt;2),(ABS((2-(G189*E189)))*D189),IF(D189&gt;0,D189*E189*G189,0)))</f>
        <v>-0.20000000000000018</v>
      </c>
      <c r="I189" s="630"/>
      <c r="J189" s="631"/>
      <c r="K189" s="593">
        <f>H189</f>
        <v>-0.20000000000000018</v>
      </c>
      <c r="L189" s="593"/>
      <c r="M189" s="594"/>
      <c r="N189" s="595" t="s">
        <v>611</v>
      </c>
      <c r="O189" s="595">
        <f>O188</f>
        <v>4</v>
      </c>
      <c r="P189" s="595" t="s">
        <v>611</v>
      </c>
      <c r="Q189" s="596"/>
      <c r="R189" s="597"/>
      <c r="S189" s="598"/>
      <c r="T189" s="598"/>
      <c r="U189" s="598"/>
      <c r="V189" s="598"/>
      <c r="W189" s="598"/>
      <c r="X189" s="596"/>
      <c r="Y189" s="596"/>
      <c r="Z189" s="596"/>
      <c r="AB189" s="597" t="s">
        <v>668</v>
      </c>
    </row>
    <row r="190" spans="1:28" s="575" customFormat="1">
      <c r="A190" s="616"/>
      <c r="B190" s="576" t="s">
        <v>672</v>
      </c>
      <c r="C190" s="591"/>
      <c r="D190" s="617"/>
      <c r="E190" s="618">
        <v>11.3</v>
      </c>
      <c r="F190" s="619"/>
      <c r="G190" s="620">
        <v>3</v>
      </c>
      <c r="H190" s="621">
        <f t="shared" si="4"/>
        <v>33.900000000000006</v>
      </c>
      <c r="I190" s="622"/>
      <c r="J190" s="623"/>
      <c r="K190" s="586">
        <f t="shared" si="2"/>
        <v>33.900000000000006</v>
      </c>
      <c r="L190" s="586"/>
      <c r="M190" s="571"/>
      <c r="N190" s="577" t="s">
        <v>611</v>
      </c>
      <c r="O190" s="577">
        <v>1</v>
      </c>
      <c r="P190" s="577" t="s">
        <v>611</v>
      </c>
      <c r="Q190" s="572"/>
      <c r="R190" s="573"/>
      <c r="S190" s="574"/>
      <c r="T190" s="574"/>
      <c r="U190" s="574"/>
      <c r="V190" s="574"/>
      <c r="W190" s="574"/>
      <c r="X190" s="572"/>
      <c r="Y190" s="572"/>
      <c r="Z190" s="572"/>
      <c r="AB190" s="573" t="s">
        <v>668</v>
      </c>
    </row>
    <row r="191" spans="1:28" s="575" customFormat="1">
      <c r="A191" s="616"/>
      <c r="B191" s="576" t="s">
        <v>845</v>
      </c>
      <c r="C191" s="591"/>
      <c r="D191" s="617"/>
      <c r="E191" s="618">
        <v>15</v>
      </c>
      <c r="F191" s="619"/>
      <c r="G191" s="620">
        <v>3</v>
      </c>
      <c r="H191" s="621">
        <f t="shared" si="4"/>
        <v>45</v>
      </c>
      <c r="I191" s="622"/>
      <c r="J191" s="623"/>
      <c r="K191" s="586">
        <f t="shared" si="2"/>
        <v>45</v>
      </c>
      <c r="L191" s="586"/>
      <c r="M191" s="571"/>
      <c r="N191" s="577" t="s">
        <v>611</v>
      </c>
      <c r="O191" s="577">
        <v>2</v>
      </c>
      <c r="P191" s="577" t="s">
        <v>611</v>
      </c>
      <c r="Q191" s="572"/>
      <c r="R191" s="573"/>
      <c r="S191" s="574"/>
      <c r="T191" s="574"/>
      <c r="U191" s="574"/>
      <c r="V191" s="574"/>
      <c r="W191" s="574"/>
      <c r="X191" s="572"/>
      <c r="Y191" s="572"/>
      <c r="Z191" s="572"/>
      <c r="AB191" s="573" t="s">
        <v>668</v>
      </c>
    </row>
    <row r="192" spans="1:28" s="575" customFormat="1">
      <c r="A192" s="616"/>
      <c r="B192" s="576" t="s">
        <v>846</v>
      </c>
      <c r="C192" s="591"/>
      <c r="D192" s="617"/>
      <c r="E192" s="618">
        <v>23</v>
      </c>
      <c r="F192" s="619"/>
      <c r="G192" s="620">
        <v>3</v>
      </c>
      <c r="H192" s="621">
        <f t="shared" si="4"/>
        <v>69</v>
      </c>
      <c r="I192" s="622"/>
      <c r="J192" s="623"/>
      <c r="K192" s="586">
        <f t="shared" si="2"/>
        <v>69</v>
      </c>
      <c r="L192" s="586"/>
      <c r="M192" s="571"/>
      <c r="N192" s="577" t="s">
        <v>611</v>
      </c>
      <c r="O192" s="577">
        <v>1</v>
      </c>
      <c r="P192" s="577" t="s">
        <v>611</v>
      </c>
      <c r="Q192" s="572"/>
      <c r="R192" s="573"/>
      <c r="S192" s="574"/>
      <c r="T192" s="574"/>
      <c r="U192" s="574"/>
      <c r="V192" s="574"/>
      <c r="W192" s="574"/>
      <c r="X192" s="572"/>
      <c r="Y192" s="572"/>
      <c r="Z192" s="572"/>
      <c r="AB192" s="573" t="s">
        <v>668</v>
      </c>
    </row>
    <row r="193" spans="1:28" s="575" customFormat="1">
      <c r="A193" s="616"/>
      <c r="B193" s="576" t="s">
        <v>847</v>
      </c>
      <c r="C193" s="591"/>
      <c r="D193" s="617"/>
      <c r="E193" s="618">
        <v>27.3</v>
      </c>
      <c r="F193" s="619"/>
      <c r="G193" s="620">
        <v>3</v>
      </c>
      <c r="H193" s="621">
        <f t="shared" si="4"/>
        <v>81.900000000000006</v>
      </c>
      <c r="I193" s="622"/>
      <c r="J193" s="623"/>
      <c r="K193" s="586">
        <f t="shared" si="2"/>
        <v>81.900000000000006</v>
      </c>
      <c r="L193" s="586"/>
      <c r="M193" s="571"/>
      <c r="N193" s="577" t="s">
        <v>611</v>
      </c>
      <c r="O193" s="577">
        <v>1</v>
      </c>
      <c r="P193" s="577" t="s">
        <v>611</v>
      </c>
      <c r="Q193" s="572"/>
      <c r="R193" s="573"/>
      <c r="S193" s="574"/>
      <c r="T193" s="574"/>
      <c r="U193" s="574"/>
      <c r="V193" s="574"/>
      <c r="W193" s="574"/>
      <c r="X193" s="572"/>
      <c r="Y193" s="572"/>
      <c r="Z193" s="572"/>
      <c r="AB193" s="573" t="s">
        <v>668</v>
      </c>
    </row>
    <row r="194" spans="1:28" s="575" customFormat="1">
      <c r="A194" s="616"/>
      <c r="B194" s="576" t="s">
        <v>671</v>
      </c>
      <c r="C194" s="591"/>
      <c r="D194" s="617"/>
      <c r="E194" s="618">
        <v>14.7</v>
      </c>
      <c r="F194" s="619"/>
      <c r="G194" s="620">
        <v>3</v>
      </c>
      <c r="H194" s="621">
        <f t="shared" si="4"/>
        <v>44.099999999999994</v>
      </c>
      <c r="I194" s="622"/>
      <c r="J194" s="623"/>
      <c r="K194" s="586">
        <f t="shared" si="2"/>
        <v>44.099999999999994</v>
      </c>
      <c r="L194" s="586"/>
      <c r="M194" s="571"/>
      <c r="N194" s="577" t="s">
        <v>611</v>
      </c>
      <c r="O194" s="577">
        <v>1</v>
      </c>
      <c r="P194" s="577" t="s">
        <v>611</v>
      </c>
      <c r="Q194" s="572"/>
      <c r="R194" s="573"/>
      <c r="S194" s="574"/>
      <c r="T194" s="574"/>
      <c r="U194" s="574"/>
      <c r="V194" s="574"/>
      <c r="W194" s="574"/>
      <c r="X194" s="572"/>
      <c r="Y194" s="572"/>
      <c r="Z194" s="572"/>
      <c r="AB194" s="573" t="s">
        <v>668</v>
      </c>
    </row>
    <row r="195" spans="1:28" s="575" customFormat="1">
      <c r="A195" s="616"/>
      <c r="B195" s="576" t="s">
        <v>848</v>
      </c>
      <c r="C195" s="591"/>
      <c r="D195" s="617"/>
      <c r="E195" s="618">
        <v>19.100000000000001</v>
      </c>
      <c r="F195" s="619"/>
      <c r="G195" s="620">
        <v>3</v>
      </c>
      <c r="H195" s="621">
        <f t="shared" si="4"/>
        <v>57.300000000000004</v>
      </c>
      <c r="I195" s="622"/>
      <c r="J195" s="623"/>
      <c r="K195" s="586">
        <f t="shared" si="2"/>
        <v>57.300000000000004</v>
      </c>
      <c r="L195" s="586"/>
      <c r="M195" s="571"/>
      <c r="N195" s="577" t="s">
        <v>611</v>
      </c>
      <c r="O195" s="577">
        <v>2</v>
      </c>
      <c r="P195" s="577" t="s">
        <v>611</v>
      </c>
      <c r="Q195" s="572"/>
      <c r="R195" s="573"/>
      <c r="S195" s="574"/>
      <c r="T195" s="574"/>
      <c r="U195" s="574"/>
      <c r="V195" s="574"/>
      <c r="W195" s="574"/>
      <c r="X195" s="572"/>
      <c r="Y195" s="572"/>
      <c r="Z195" s="572"/>
      <c r="AB195" s="573" t="s">
        <v>668</v>
      </c>
    </row>
    <row r="196" spans="1:28" s="575" customFormat="1">
      <c r="A196" s="616"/>
      <c r="B196" s="576" t="s">
        <v>670</v>
      </c>
      <c r="C196" s="591"/>
      <c r="D196" s="617"/>
      <c r="E196" s="618">
        <v>17</v>
      </c>
      <c r="F196" s="619"/>
      <c r="G196" s="620">
        <v>3</v>
      </c>
      <c r="H196" s="621">
        <f t="shared" si="4"/>
        <v>51</v>
      </c>
      <c r="I196" s="622"/>
      <c r="J196" s="623"/>
      <c r="K196" s="586">
        <f t="shared" si="2"/>
        <v>51</v>
      </c>
      <c r="L196" s="586"/>
      <c r="M196" s="571"/>
      <c r="N196" s="577" t="s">
        <v>611</v>
      </c>
      <c r="O196" s="577">
        <v>1</v>
      </c>
      <c r="P196" s="577" t="s">
        <v>611</v>
      </c>
      <c r="Q196" s="572"/>
      <c r="R196" s="573"/>
      <c r="S196" s="574"/>
      <c r="T196" s="574"/>
      <c r="U196" s="574"/>
      <c r="V196" s="574"/>
      <c r="W196" s="574"/>
      <c r="X196" s="572"/>
      <c r="Y196" s="572"/>
      <c r="Z196" s="572"/>
      <c r="AB196" s="573" t="s">
        <v>668</v>
      </c>
    </row>
    <row r="197" spans="1:28" s="575" customFormat="1">
      <c r="A197" s="616"/>
      <c r="B197" s="576" t="s">
        <v>849</v>
      </c>
      <c r="C197" s="591"/>
      <c r="D197" s="617"/>
      <c r="E197" s="618">
        <v>126.8</v>
      </c>
      <c r="F197" s="619"/>
      <c r="G197" s="620">
        <v>3</v>
      </c>
      <c r="H197" s="621">
        <f t="shared" si="4"/>
        <v>380.4</v>
      </c>
      <c r="I197" s="622"/>
      <c r="J197" s="623"/>
      <c r="K197" s="586">
        <f t="shared" si="2"/>
        <v>380.4</v>
      </c>
      <c r="L197" s="586"/>
      <c r="M197" s="571"/>
      <c r="N197" s="577" t="s">
        <v>611</v>
      </c>
      <c r="O197" s="577">
        <v>1</v>
      </c>
      <c r="P197" s="577" t="s">
        <v>611</v>
      </c>
      <c r="Q197" s="572"/>
      <c r="R197" s="573"/>
      <c r="S197" s="574"/>
      <c r="T197" s="574"/>
      <c r="U197" s="574"/>
      <c r="V197" s="574"/>
      <c r="W197" s="574"/>
      <c r="X197" s="572"/>
      <c r="Y197" s="572"/>
      <c r="Z197" s="572"/>
      <c r="AB197" s="573" t="s">
        <v>668</v>
      </c>
    </row>
    <row r="198" spans="1:28" s="599" customFormat="1" ht="20.25">
      <c r="A198" s="624"/>
      <c r="B198" s="592" t="s">
        <v>835</v>
      </c>
      <c r="C198" s="625"/>
      <c r="D198" s="626">
        <v>-3</v>
      </c>
      <c r="E198" s="627">
        <f>VLOOKUP(B198,'[10]auxiliar memoria'!$B$155:$E$302,2,FALSE)</f>
        <v>1</v>
      </c>
      <c r="F198" s="628"/>
      <c r="G198" s="629">
        <f>VLOOKUP(B198,'[10]auxiliar memoria'!$B$155:$E$302,3,FALSE)</f>
        <v>2.1</v>
      </c>
      <c r="H198" s="629">
        <f>IF(D198=0,"",IF(AND(D198&lt;0,E198*G198&gt;2),(ABS((2-(G198*E198)))*D198),IF(D198&gt;0,D198*E198*G198,0)))</f>
        <v>-0.30000000000000027</v>
      </c>
      <c r="I198" s="630"/>
      <c r="J198" s="631"/>
      <c r="K198" s="593">
        <f>H198</f>
        <v>-0.30000000000000027</v>
      </c>
      <c r="L198" s="593"/>
      <c r="M198" s="594"/>
      <c r="N198" s="595" t="s">
        <v>611</v>
      </c>
      <c r="O198" s="595">
        <f>O197</f>
        <v>1</v>
      </c>
      <c r="P198" s="595" t="s">
        <v>611</v>
      </c>
      <c r="Q198" s="596"/>
      <c r="R198" s="597"/>
      <c r="S198" s="598"/>
      <c r="T198" s="598"/>
      <c r="U198" s="598"/>
      <c r="V198" s="598"/>
      <c r="W198" s="598"/>
      <c r="X198" s="596"/>
      <c r="Y198" s="596"/>
      <c r="Z198" s="596"/>
      <c r="AB198" s="597" t="s">
        <v>668</v>
      </c>
    </row>
    <row r="199" spans="1:28" s="575" customFormat="1">
      <c r="A199" s="616"/>
      <c r="B199" s="576" t="s">
        <v>904</v>
      </c>
      <c r="C199" s="591"/>
      <c r="D199" s="617"/>
      <c r="E199" s="618">
        <v>2.1</v>
      </c>
      <c r="F199" s="619"/>
      <c r="G199" s="620">
        <f>0.5+0.15</f>
        <v>0.65</v>
      </c>
      <c r="H199" s="621">
        <f t="shared" ref="H199" si="5">G199*E199</f>
        <v>1.3650000000000002</v>
      </c>
      <c r="I199" s="622"/>
      <c r="J199" s="623"/>
      <c r="K199" s="586">
        <f t="shared" ref="K199" si="6">H199</f>
        <v>1.3650000000000002</v>
      </c>
      <c r="L199" s="586"/>
      <c r="M199" s="571"/>
      <c r="N199" s="577" t="s">
        <v>611</v>
      </c>
      <c r="O199" s="577">
        <v>1</v>
      </c>
      <c r="P199" s="577" t="s">
        <v>611</v>
      </c>
      <c r="Q199" s="572"/>
      <c r="R199" s="573"/>
      <c r="S199" s="574"/>
      <c r="T199" s="574"/>
      <c r="U199" s="574"/>
      <c r="V199" s="574"/>
      <c r="W199" s="574"/>
      <c r="X199" s="572"/>
      <c r="Y199" s="572"/>
      <c r="Z199" s="572"/>
      <c r="AB199" s="573" t="s">
        <v>668</v>
      </c>
    </row>
    <row r="200" spans="1:28" s="575" customFormat="1">
      <c r="A200" s="616"/>
      <c r="B200" s="576" t="s">
        <v>118</v>
      </c>
      <c r="C200" s="591"/>
      <c r="D200" s="617"/>
      <c r="E200" s="618">
        <v>17</v>
      </c>
      <c r="F200" s="619"/>
      <c r="G200" s="620">
        <v>3</v>
      </c>
      <c r="H200" s="621">
        <f t="shared" si="4"/>
        <v>51</v>
      </c>
      <c r="I200" s="622"/>
      <c r="J200" s="623"/>
      <c r="K200" s="586">
        <f t="shared" si="2"/>
        <v>51</v>
      </c>
      <c r="L200" s="586"/>
      <c r="M200" s="571"/>
      <c r="N200" s="577" t="s">
        <v>611</v>
      </c>
      <c r="O200" s="577">
        <v>2</v>
      </c>
      <c r="P200" s="577" t="s">
        <v>611</v>
      </c>
      <c r="Q200" s="572"/>
      <c r="R200" s="573"/>
      <c r="S200" s="574"/>
      <c r="T200" s="574"/>
      <c r="U200" s="574"/>
      <c r="V200" s="574"/>
      <c r="W200" s="574"/>
      <c r="X200" s="572"/>
      <c r="Y200" s="572"/>
      <c r="Z200" s="572"/>
      <c r="AB200" s="573" t="s">
        <v>668</v>
      </c>
    </row>
    <row r="201" spans="1:28" s="575" customFormat="1">
      <c r="A201" s="616"/>
      <c r="B201" s="576" t="s">
        <v>182</v>
      </c>
      <c r="C201" s="591"/>
      <c r="D201" s="617"/>
      <c r="E201" s="618">
        <v>22.7</v>
      </c>
      <c r="F201" s="619"/>
      <c r="G201" s="620">
        <v>3</v>
      </c>
      <c r="H201" s="621">
        <f t="shared" si="4"/>
        <v>68.099999999999994</v>
      </c>
      <c r="I201" s="622"/>
      <c r="J201" s="623"/>
      <c r="K201" s="586">
        <f t="shared" si="2"/>
        <v>68.099999999999994</v>
      </c>
      <c r="L201" s="586"/>
      <c r="M201" s="571"/>
      <c r="N201" s="577" t="s">
        <v>611</v>
      </c>
      <c r="O201" s="577">
        <v>1</v>
      </c>
      <c r="P201" s="577" t="s">
        <v>611</v>
      </c>
      <c r="Q201" s="572"/>
      <c r="R201" s="573"/>
      <c r="S201" s="574"/>
      <c r="T201" s="574"/>
      <c r="U201" s="574"/>
      <c r="V201" s="574"/>
      <c r="W201" s="574"/>
      <c r="X201" s="572"/>
      <c r="Y201" s="572"/>
      <c r="Z201" s="572"/>
      <c r="AB201" s="573" t="s">
        <v>668</v>
      </c>
    </row>
    <row r="202" spans="1:28" s="575" customFormat="1">
      <c r="A202" s="616"/>
      <c r="B202" s="576" t="s">
        <v>850</v>
      </c>
      <c r="C202" s="591"/>
      <c r="D202" s="617"/>
      <c r="E202" s="618">
        <v>26.5</v>
      </c>
      <c r="F202" s="619"/>
      <c r="G202" s="620">
        <v>3</v>
      </c>
      <c r="H202" s="621">
        <f t="shared" si="4"/>
        <v>79.5</v>
      </c>
      <c r="I202" s="622"/>
      <c r="J202" s="623"/>
      <c r="K202" s="586">
        <f t="shared" si="2"/>
        <v>79.5</v>
      </c>
      <c r="L202" s="586"/>
      <c r="M202" s="571"/>
      <c r="N202" s="577" t="s">
        <v>611</v>
      </c>
      <c r="O202" s="577">
        <v>1</v>
      </c>
      <c r="P202" s="577" t="s">
        <v>611</v>
      </c>
      <c r="Q202" s="572"/>
      <c r="R202" s="573"/>
      <c r="S202" s="574"/>
      <c r="T202" s="574"/>
      <c r="U202" s="574"/>
      <c r="V202" s="574"/>
      <c r="W202" s="574"/>
      <c r="X202" s="572"/>
      <c r="Y202" s="572"/>
      <c r="Z202" s="572"/>
      <c r="AB202" s="573" t="s">
        <v>668</v>
      </c>
    </row>
    <row r="203" spans="1:28" s="575" customFormat="1">
      <c r="A203" s="616"/>
      <c r="B203" s="576" t="s">
        <v>851</v>
      </c>
      <c r="C203" s="591"/>
      <c r="D203" s="617"/>
      <c r="E203" s="618">
        <v>11.6</v>
      </c>
      <c r="F203" s="619"/>
      <c r="G203" s="620">
        <v>3</v>
      </c>
      <c r="H203" s="621">
        <f t="shared" si="4"/>
        <v>34.799999999999997</v>
      </c>
      <c r="I203" s="622"/>
      <c r="J203" s="623"/>
      <c r="K203" s="586">
        <f t="shared" si="2"/>
        <v>34.799999999999997</v>
      </c>
      <c r="L203" s="586"/>
      <c r="M203" s="571"/>
      <c r="N203" s="577" t="s">
        <v>611</v>
      </c>
      <c r="O203" s="577">
        <v>1</v>
      </c>
      <c r="P203" s="577" t="s">
        <v>611</v>
      </c>
      <c r="Q203" s="572"/>
      <c r="R203" s="573"/>
      <c r="S203" s="574"/>
      <c r="T203" s="574"/>
      <c r="U203" s="574"/>
      <c r="V203" s="574"/>
      <c r="W203" s="574"/>
      <c r="X203" s="572"/>
      <c r="Y203" s="572"/>
      <c r="Z203" s="572"/>
      <c r="AB203" s="573" t="s">
        <v>668</v>
      </c>
    </row>
    <row r="204" spans="1:28" s="575" customFormat="1">
      <c r="A204" s="616"/>
      <c r="B204" s="576" t="s">
        <v>852</v>
      </c>
      <c r="C204" s="591"/>
      <c r="D204" s="617"/>
      <c r="E204" s="618">
        <v>7.2</v>
      </c>
      <c r="F204" s="619"/>
      <c r="G204" s="620">
        <v>3</v>
      </c>
      <c r="H204" s="621">
        <f t="shared" si="4"/>
        <v>21.6</v>
      </c>
      <c r="I204" s="622"/>
      <c r="J204" s="623"/>
      <c r="K204" s="586">
        <f t="shared" si="2"/>
        <v>21.6</v>
      </c>
      <c r="L204" s="586"/>
      <c r="M204" s="571"/>
      <c r="N204" s="577" t="s">
        <v>611</v>
      </c>
      <c r="O204" s="577">
        <v>2</v>
      </c>
      <c r="P204" s="577" t="s">
        <v>611</v>
      </c>
      <c r="Q204" s="572"/>
      <c r="R204" s="573"/>
      <c r="S204" s="574"/>
      <c r="T204" s="574"/>
      <c r="U204" s="574"/>
      <c r="V204" s="574"/>
      <c r="W204" s="574"/>
      <c r="X204" s="572"/>
      <c r="Y204" s="572"/>
      <c r="Z204" s="572"/>
      <c r="AB204" s="573" t="s">
        <v>668</v>
      </c>
    </row>
    <row r="205" spans="1:28" s="575" customFormat="1">
      <c r="A205" s="616"/>
      <c r="B205" s="576" t="s">
        <v>853</v>
      </c>
      <c r="C205" s="591"/>
      <c r="D205" s="617"/>
      <c r="E205" s="618">
        <v>7.2</v>
      </c>
      <c r="F205" s="619"/>
      <c r="G205" s="620">
        <v>3</v>
      </c>
      <c r="H205" s="621">
        <f t="shared" si="4"/>
        <v>21.6</v>
      </c>
      <c r="I205" s="622"/>
      <c r="J205" s="623"/>
      <c r="K205" s="586">
        <f t="shared" si="2"/>
        <v>21.6</v>
      </c>
      <c r="L205" s="586"/>
      <c r="M205" s="571"/>
      <c r="N205" s="577" t="s">
        <v>611</v>
      </c>
      <c r="O205" s="577">
        <v>2</v>
      </c>
      <c r="P205" s="577" t="s">
        <v>611</v>
      </c>
      <c r="Q205" s="572"/>
      <c r="R205" s="573"/>
      <c r="S205" s="574"/>
      <c r="T205" s="574"/>
      <c r="U205" s="574"/>
      <c r="V205" s="574"/>
      <c r="W205" s="574"/>
      <c r="X205" s="572"/>
      <c r="Y205" s="572"/>
      <c r="Z205" s="572"/>
      <c r="AB205" s="573" t="s">
        <v>668</v>
      </c>
    </row>
    <row r="206" spans="1:28" s="575" customFormat="1">
      <c r="A206" s="616"/>
      <c r="B206" s="576" t="s">
        <v>854</v>
      </c>
      <c r="C206" s="591"/>
      <c r="D206" s="617"/>
      <c r="E206" s="618">
        <v>19.399999999999999</v>
      </c>
      <c r="F206" s="619"/>
      <c r="G206" s="620">
        <v>3</v>
      </c>
      <c r="H206" s="621">
        <f t="shared" si="4"/>
        <v>58.199999999999996</v>
      </c>
      <c r="I206" s="622"/>
      <c r="J206" s="623"/>
      <c r="K206" s="586">
        <f t="shared" si="2"/>
        <v>58.199999999999996</v>
      </c>
      <c r="L206" s="586"/>
      <c r="M206" s="571"/>
      <c r="N206" s="577" t="s">
        <v>611</v>
      </c>
      <c r="O206" s="577">
        <v>1</v>
      </c>
      <c r="P206" s="577" t="s">
        <v>611</v>
      </c>
      <c r="Q206" s="572"/>
      <c r="R206" s="573"/>
      <c r="S206" s="574"/>
      <c r="T206" s="574"/>
      <c r="U206" s="574"/>
      <c r="V206" s="574"/>
      <c r="W206" s="574"/>
      <c r="X206" s="572"/>
      <c r="Y206" s="572"/>
      <c r="Z206" s="572"/>
      <c r="AB206" s="573" t="s">
        <v>668</v>
      </c>
    </row>
    <row r="207" spans="1:28" s="575" customFormat="1">
      <c r="A207" s="616"/>
      <c r="B207" s="576" t="s">
        <v>855</v>
      </c>
      <c r="C207" s="591"/>
      <c r="D207" s="617"/>
      <c r="E207" s="618">
        <v>11.6</v>
      </c>
      <c r="F207" s="619"/>
      <c r="G207" s="620">
        <v>3</v>
      </c>
      <c r="H207" s="621">
        <f t="shared" si="4"/>
        <v>34.799999999999997</v>
      </c>
      <c r="I207" s="622"/>
      <c r="J207" s="623"/>
      <c r="K207" s="586">
        <f t="shared" si="2"/>
        <v>34.799999999999997</v>
      </c>
      <c r="L207" s="586"/>
      <c r="M207" s="571"/>
      <c r="N207" s="577" t="s">
        <v>611</v>
      </c>
      <c r="O207" s="577">
        <v>1</v>
      </c>
      <c r="P207" s="577" t="s">
        <v>611</v>
      </c>
      <c r="Q207" s="572"/>
      <c r="R207" s="573"/>
      <c r="S207" s="574"/>
      <c r="T207" s="574"/>
      <c r="U207" s="574"/>
      <c r="V207" s="574"/>
      <c r="W207" s="574"/>
      <c r="X207" s="572"/>
      <c r="Y207" s="572"/>
      <c r="Z207" s="572"/>
      <c r="AB207" s="573" t="s">
        <v>668</v>
      </c>
    </row>
    <row r="208" spans="1:28" s="575" customFormat="1">
      <c r="A208" s="616"/>
      <c r="B208" s="576" t="s">
        <v>856</v>
      </c>
      <c r="C208" s="591"/>
      <c r="D208" s="617"/>
      <c r="E208" s="618">
        <v>7.2</v>
      </c>
      <c r="F208" s="619"/>
      <c r="G208" s="620">
        <v>3</v>
      </c>
      <c r="H208" s="621">
        <f t="shared" si="4"/>
        <v>21.6</v>
      </c>
      <c r="I208" s="622"/>
      <c r="J208" s="623"/>
      <c r="K208" s="586">
        <f t="shared" si="2"/>
        <v>21.6</v>
      </c>
      <c r="L208" s="586"/>
      <c r="M208" s="571"/>
      <c r="N208" s="577" t="s">
        <v>611</v>
      </c>
      <c r="O208" s="577">
        <v>2</v>
      </c>
      <c r="P208" s="577" t="s">
        <v>611</v>
      </c>
      <c r="Q208" s="572"/>
      <c r="R208" s="573"/>
      <c r="S208" s="574"/>
      <c r="T208" s="574"/>
      <c r="U208" s="574"/>
      <c r="V208" s="574"/>
      <c r="W208" s="574"/>
      <c r="X208" s="572"/>
      <c r="Y208" s="572"/>
      <c r="Z208" s="572"/>
      <c r="AB208" s="573" t="s">
        <v>668</v>
      </c>
    </row>
    <row r="209" spans="1:28" s="575" customFormat="1">
      <c r="A209" s="616"/>
      <c r="B209" s="576" t="s">
        <v>857</v>
      </c>
      <c r="C209" s="591"/>
      <c r="D209" s="617"/>
      <c r="E209" s="618">
        <v>7.2</v>
      </c>
      <c r="F209" s="619"/>
      <c r="G209" s="620">
        <v>3</v>
      </c>
      <c r="H209" s="621">
        <f t="shared" si="4"/>
        <v>21.6</v>
      </c>
      <c r="I209" s="622"/>
      <c r="J209" s="623"/>
      <c r="K209" s="586">
        <f t="shared" si="2"/>
        <v>21.6</v>
      </c>
      <c r="L209" s="586"/>
      <c r="M209" s="571"/>
      <c r="N209" s="577" t="s">
        <v>611</v>
      </c>
      <c r="O209" s="577">
        <v>2</v>
      </c>
      <c r="P209" s="577" t="s">
        <v>611</v>
      </c>
      <c r="Q209" s="572"/>
      <c r="R209" s="573"/>
      <c r="S209" s="574"/>
      <c r="T209" s="574"/>
      <c r="U209" s="574"/>
      <c r="V209" s="574"/>
      <c r="W209" s="574"/>
      <c r="X209" s="572"/>
      <c r="Y209" s="572"/>
      <c r="Z209" s="572"/>
      <c r="AB209" s="573" t="s">
        <v>668</v>
      </c>
    </row>
    <row r="210" spans="1:28" s="575" customFormat="1">
      <c r="A210" s="616"/>
      <c r="B210" s="576" t="s">
        <v>858</v>
      </c>
      <c r="C210" s="591"/>
      <c r="D210" s="617"/>
      <c r="E210" s="618">
        <v>16.100000000000001</v>
      </c>
      <c r="F210" s="619"/>
      <c r="G210" s="620">
        <v>3</v>
      </c>
      <c r="H210" s="621">
        <f t="shared" si="4"/>
        <v>48.300000000000004</v>
      </c>
      <c r="I210" s="622"/>
      <c r="J210" s="623"/>
      <c r="K210" s="586">
        <f t="shared" si="2"/>
        <v>48.300000000000004</v>
      </c>
      <c r="L210" s="586"/>
      <c r="M210" s="571"/>
      <c r="N210" s="577" t="s">
        <v>611</v>
      </c>
      <c r="O210" s="577">
        <v>1</v>
      </c>
      <c r="P210" s="577" t="s">
        <v>611</v>
      </c>
      <c r="Q210" s="572"/>
      <c r="R210" s="573"/>
      <c r="S210" s="574"/>
      <c r="T210" s="574"/>
      <c r="U210" s="574"/>
      <c r="V210" s="574"/>
      <c r="W210" s="574"/>
      <c r="X210" s="572"/>
      <c r="Y210" s="572"/>
      <c r="Z210" s="572"/>
      <c r="AB210" s="573" t="s">
        <v>668</v>
      </c>
    </row>
    <row r="211" spans="1:28" s="575" customFormat="1">
      <c r="A211" s="616"/>
      <c r="B211" s="576" t="s">
        <v>859</v>
      </c>
      <c r="C211" s="591"/>
      <c r="D211" s="617"/>
      <c r="E211" s="618">
        <v>14.3</v>
      </c>
      <c r="F211" s="619"/>
      <c r="G211" s="620">
        <v>3</v>
      </c>
      <c r="H211" s="621">
        <f t="shared" si="4"/>
        <v>42.900000000000006</v>
      </c>
      <c r="I211" s="622"/>
      <c r="J211" s="623"/>
      <c r="K211" s="586">
        <f t="shared" si="2"/>
        <v>42.900000000000006</v>
      </c>
      <c r="L211" s="586"/>
      <c r="M211" s="571"/>
      <c r="N211" s="577" t="s">
        <v>611</v>
      </c>
      <c r="O211" s="577">
        <v>1</v>
      </c>
      <c r="P211" s="577" t="s">
        <v>611</v>
      </c>
      <c r="Q211" s="572"/>
      <c r="R211" s="573"/>
      <c r="S211" s="574"/>
      <c r="T211" s="574"/>
      <c r="U211" s="574"/>
      <c r="V211" s="574"/>
      <c r="W211" s="574"/>
      <c r="X211" s="572"/>
      <c r="Y211" s="572"/>
      <c r="Z211" s="572"/>
      <c r="AB211" s="573" t="s">
        <v>668</v>
      </c>
    </row>
    <row r="212" spans="1:28" s="575" customFormat="1">
      <c r="A212" s="616"/>
      <c r="B212" s="576" t="s">
        <v>860</v>
      </c>
      <c r="C212" s="591"/>
      <c r="D212" s="617"/>
      <c r="E212" s="618">
        <v>7.4</v>
      </c>
      <c r="F212" s="619"/>
      <c r="G212" s="620">
        <v>3</v>
      </c>
      <c r="H212" s="621">
        <f t="shared" si="4"/>
        <v>22.200000000000003</v>
      </c>
      <c r="I212" s="622"/>
      <c r="J212" s="623"/>
      <c r="K212" s="586">
        <f t="shared" si="2"/>
        <v>22.200000000000003</v>
      </c>
      <c r="L212" s="586"/>
      <c r="M212" s="571"/>
      <c r="N212" s="577" t="s">
        <v>611</v>
      </c>
      <c r="O212" s="577">
        <v>2</v>
      </c>
      <c r="P212" s="577" t="s">
        <v>611</v>
      </c>
      <c r="Q212" s="572"/>
      <c r="R212" s="573"/>
      <c r="S212" s="574"/>
      <c r="T212" s="574"/>
      <c r="U212" s="574"/>
      <c r="V212" s="574"/>
      <c r="W212" s="574"/>
      <c r="X212" s="572"/>
      <c r="Y212" s="572"/>
      <c r="Z212" s="572"/>
      <c r="AB212" s="573" t="s">
        <v>668</v>
      </c>
    </row>
    <row r="213" spans="1:28" s="575" customFormat="1">
      <c r="A213" s="616"/>
      <c r="B213" s="576" t="s">
        <v>861</v>
      </c>
      <c r="C213" s="591"/>
      <c r="D213" s="617"/>
      <c r="E213" s="618">
        <v>13.8</v>
      </c>
      <c r="F213" s="619"/>
      <c r="G213" s="620">
        <v>3</v>
      </c>
      <c r="H213" s="621">
        <f t="shared" si="4"/>
        <v>41.400000000000006</v>
      </c>
      <c r="I213" s="622"/>
      <c r="J213" s="623"/>
      <c r="K213" s="586">
        <f t="shared" si="2"/>
        <v>41.400000000000006</v>
      </c>
      <c r="L213" s="586"/>
      <c r="M213" s="571"/>
      <c r="N213" s="577" t="s">
        <v>611</v>
      </c>
      <c r="O213" s="577">
        <v>1</v>
      </c>
      <c r="P213" s="577" t="s">
        <v>611</v>
      </c>
      <c r="Q213" s="572"/>
      <c r="R213" s="573"/>
      <c r="S213" s="574"/>
      <c r="T213" s="574"/>
      <c r="U213" s="574"/>
      <c r="V213" s="574"/>
      <c r="W213" s="574"/>
      <c r="X213" s="572"/>
      <c r="Y213" s="572"/>
      <c r="Z213" s="572"/>
      <c r="AB213" s="573" t="s">
        <v>668</v>
      </c>
    </row>
    <row r="214" spans="1:28" s="575" customFormat="1">
      <c r="A214" s="616"/>
      <c r="B214" s="576" t="s">
        <v>862</v>
      </c>
      <c r="C214" s="591"/>
      <c r="D214" s="617"/>
      <c r="E214" s="618">
        <v>13.8</v>
      </c>
      <c r="F214" s="619"/>
      <c r="G214" s="620">
        <v>3</v>
      </c>
      <c r="H214" s="621">
        <f t="shared" si="4"/>
        <v>41.400000000000006</v>
      </c>
      <c r="I214" s="622"/>
      <c r="J214" s="623"/>
      <c r="K214" s="586">
        <f t="shared" si="2"/>
        <v>41.400000000000006</v>
      </c>
      <c r="L214" s="586"/>
      <c r="M214" s="571"/>
      <c r="N214" s="577" t="s">
        <v>611</v>
      </c>
      <c r="O214" s="577">
        <v>1</v>
      </c>
      <c r="P214" s="577" t="s">
        <v>611</v>
      </c>
      <c r="Q214" s="572"/>
      <c r="R214" s="573"/>
      <c r="S214" s="574"/>
      <c r="T214" s="574"/>
      <c r="U214" s="574"/>
      <c r="V214" s="574"/>
      <c r="W214" s="574"/>
      <c r="X214" s="572"/>
      <c r="Y214" s="572"/>
      <c r="Z214" s="572"/>
      <c r="AB214" s="573" t="s">
        <v>668</v>
      </c>
    </row>
    <row r="215" spans="1:28" s="575" customFormat="1">
      <c r="A215" s="616"/>
      <c r="B215" s="576" t="s">
        <v>863</v>
      </c>
      <c r="C215" s="591"/>
      <c r="D215" s="617"/>
      <c r="E215" s="618">
        <v>14.2</v>
      </c>
      <c r="F215" s="619"/>
      <c r="G215" s="620">
        <v>3</v>
      </c>
      <c r="H215" s="621">
        <f t="shared" si="4"/>
        <v>42.599999999999994</v>
      </c>
      <c r="I215" s="622"/>
      <c r="J215" s="623"/>
      <c r="K215" s="586">
        <f t="shared" si="2"/>
        <v>42.599999999999994</v>
      </c>
      <c r="L215" s="586"/>
      <c r="M215" s="571"/>
      <c r="N215" s="577" t="s">
        <v>611</v>
      </c>
      <c r="O215" s="577">
        <v>1</v>
      </c>
      <c r="P215" s="577" t="s">
        <v>611</v>
      </c>
      <c r="Q215" s="572"/>
      <c r="R215" s="573"/>
      <c r="S215" s="574"/>
      <c r="T215" s="574"/>
      <c r="U215" s="574"/>
      <c r="V215" s="574"/>
      <c r="W215" s="574"/>
      <c r="X215" s="572"/>
      <c r="Y215" s="572"/>
      <c r="Z215" s="572"/>
      <c r="AB215" s="573" t="s">
        <v>668</v>
      </c>
    </row>
    <row r="216" spans="1:28" s="575" customFormat="1">
      <c r="A216" s="616"/>
      <c r="B216" s="576" t="s">
        <v>864</v>
      </c>
      <c r="C216" s="591"/>
      <c r="D216" s="617"/>
      <c r="E216" s="618">
        <v>7.4</v>
      </c>
      <c r="F216" s="619"/>
      <c r="G216" s="620">
        <v>3</v>
      </c>
      <c r="H216" s="621">
        <f t="shared" si="4"/>
        <v>22.200000000000003</v>
      </c>
      <c r="I216" s="622"/>
      <c r="J216" s="623"/>
      <c r="K216" s="586">
        <f t="shared" si="2"/>
        <v>22.200000000000003</v>
      </c>
      <c r="L216" s="586"/>
      <c r="M216" s="571"/>
      <c r="N216" s="577" t="s">
        <v>611</v>
      </c>
      <c r="O216" s="577">
        <v>2</v>
      </c>
      <c r="P216" s="577" t="s">
        <v>611</v>
      </c>
      <c r="Q216" s="572"/>
      <c r="R216" s="573"/>
      <c r="S216" s="574"/>
      <c r="T216" s="574"/>
      <c r="U216" s="574"/>
      <c r="V216" s="574"/>
      <c r="W216" s="574"/>
      <c r="X216" s="572"/>
      <c r="Y216" s="572"/>
      <c r="Z216" s="572"/>
      <c r="AB216" s="573" t="s">
        <v>668</v>
      </c>
    </row>
    <row r="217" spans="1:28" s="575" customFormat="1">
      <c r="A217" s="616"/>
      <c r="B217" s="576" t="s">
        <v>865</v>
      </c>
      <c r="C217" s="591"/>
      <c r="D217" s="617"/>
      <c r="E217" s="618">
        <v>16</v>
      </c>
      <c r="F217" s="619"/>
      <c r="G217" s="620">
        <v>3</v>
      </c>
      <c r="H217" s="621">
        <f t="shared" si="4"/>
        <v>48</v>
      </c>
      <c r="I217" s="622"/>
      <c r="J217" s="623"/>
      <c r="K217" s="586">
        <f t="shared" si="2"/>
        <v>48</v>
      </c>
      <c r="L217" s="586"/>
      <c r="M217" s="571"/>
      <c r="N217" s="577" t="s">
        <v>611</v>
      </c>
      <c r="O217" s="577">
        <v>1</v>
      </c>
      <c r="P217" s="577" t="s">
        <v>611</v>
      </c>
      <c r="Q217" s="572"/>
      <c r="R217" s="573"/>
      <c r="S217" s="574"/>
      <c r="T217" s="574"/>
      <c r="U217" s="574"/>
      <c r="V217" s="574"/>
      <c r="W217" s="574"/>
      <c r="X217" s="572"/>
      <c r="Y217" s="572"/>
      <c r="Z217" s="572"/>
      <c r="AB217" s="573" t="s">
        <v>668</v>
      </c>
    </row>
    <row r="218" spans="1:28" s="575" customFormat="1">
      <c r="A218" s="616"/>
      <c r="B218" s="576" t="s">
        <v>809</v>
      </c>
      <c r="C218" s="591"/>
      <c r="D218" s="617"/>
      <c r="E218" s="618">
        <v>25.2</v>
      </c>
      <c r="F218" s="619"/>
      <c r="G218" s="620">
        <v>3</v>
      </c>
      <c r="H218" s="621">
        <f t="shared" si="4"/>
        <v>75.599999999999994</v>
      </c>
      <c r="I218" s="622"/>
      <c r="J218" s="623"/>
      <c r="K218" s="586">
        <f t="shared" si="2"/>
        <v>75.599999999999994</v>
      </c>
      <c r="L218" s="586"/>
      <c r="M218" s="571"/>
      <c r="N218" s="577" t="s">
        <v>611</v>
      </c>
      <c r="O218" s="577">
        <v>1</v>
      </c>
      <c r="P218" s="577" t="s">
        <v>611</v>
      </c>
      <c r="Q218" s="572"/>
      <c r="R218" s="573"/>
      <c r="S218" s="574"/>
      <c r="T218" s="574"/>
      <c r="U218" s="574"/>
      <c r="V218" s="574"/>
      <c r="W218" s="574"/>
      <c r="X218" s="572"/>
      <c r="Y218" s="572"/>
      <c r="Z218" s="572"/>
      <c r="AB218" s="573" t="s">
        <v>668</v>
      </c>
    </row>
    <row r="219" spans="1:28" s="575" customFormat="1">
      <c r="A219" s="616"/>
      <c r="B219" s="576" t="s">
        <v>904</v>
      </c>
      <c r="C219" s="591"/>
      <c r="D219" s="617"/>
      <c r="E219" s="618">
        <v>1.9</v>
      </c>
      <c r="F219" s="619"/>
      <c r="G219" s="620">
        <f>0.5+0.15</f>
        <v>0.65</v>
      </c>
      <c r="H219" s="621">
        <f t="shared" si="4"/>
        <v>1.2349999999999999</v>
      </c>
      <c r="I219" s="622"/>
      <c r="J219" s="623"/>
      <c r="K219" s="586">
        <f t="shared" si="2"/>
        <v>1.2349999999999999</v>
      </c>
      <c r="L219" s="586"/>
      <c r="M219" s="571"/>
      <c r="N219" s="577" t="s">
        <v>611</v>
      </c>
      <c r="O219" s="577">
        <v>1</v>
      </c>
      <c r="P219" s="577" t="s">
        <v>611</v>
      </c>
      <c r="Q219" s="572"/>
      <c r="R219" s="573"/>
      <c r="S219" s="574"/>
      <c r="T219" s="574"/>
      <c r="U219" s="574"/>
      <c r="V219" s="574"/>
      <c r="W219" s="574"/>
      <c r="X219" s="572"/>
      <c r="Y219" s="572"/>
      <c r="Z219" s="572"/>
      <c r="AB219" s="573" t="s">
        <v>668</v>
      </c>
    </row>
    <row r="220" spans="1:28" s="575" customFormat="1">
      <c r="A220" s="616"/>
      <c r="B220" s="576" t="s">
        <v>866</v>
      </c>
      <c r="C220" s="591"/>
      <c r="D220" s="617"/>
      <c r="E220" s="618">
        <v>9.8000000000000007</v>
      </c>
      <c r="F220" s="619"/>
      <c r="G220" s="620">
        <v>3</v>
      </c>
      <c r="H220" s="621">
        <f t="shared" si="4"/>
        <v>29.400000000000002</v>
      </c>
      <c r="I220" s="622"/>
      <c r="J220" s="623"/>
      <c r="K220" s="586">
        <f t="shared" si="2"/>
        <v>29.400000000000002</v>
      </c>
      <c r="L220" s="586"/>
      <c r="M220" s="571"/>
      <c r="N220" s="577" t="s">
        <v>611</v>
      </c>
      <c r="O220" s="577">
        <v>1</v>
      </c>
      <c r="P220" s="577" t="s">
        <v>611</v>
      </c>
      <c r="Q220" s="572"/>
      <c r="R220" s="573"/>
      <c r="S220" s="574"/>
      <c r="T220" s="574"/>
      <c r="U220" s="574"/>
      <c r="V220" s="574"/>
      <c r="W220" s="574"/>
      <c r="X220" s="572"/>
      <c r="Y220" s="572"/>
      <c r="Z220" s="572"/>
      <c r="AB220" s="573"/>
    </row>
    <row r="221" spans="1:28" s="575" customFormat="1">
      <c r="A221" s="616"/>
      <c r="B221" s="576" t="s">
        <v>867</v>
      </c>
      <c r="C221" s="591"/>
      <c r="D221" s="617"/>
      <c r="E221" s="618">
        <v>7.5</v>
      </c>
      <c r="F221" s="619"/>
      <c r="G221" s="620">
        <v>3</v>
      </c>
      <c r="H221" s="621">
        <f t="shared" si="4"/>
        <v>22.5</v>
      </c>
      <c r="I221" s="622"/>
      <c r="J221" s="623"/>
      <c r="K221" s="586">
        <f t="shared" si="2"/>
        <v>22.5</v>
      </c>
      <c r="L221" s="586"/>
      <c r="M221" s="571"/>
      <c r="N221" s="577" t="s">
        <v>611</v>
      </c>
      <c r="O221" s="577">
        <v>2</v>
      </c>
      <c r="P221" s="577" t="s">
        <v>611</v>
      </c>
      <c r="Q221" s="572"/>
      <c r="R221" s="573"/>
      <c r="S221" s="574"/>
      <c r="T221" s="574"/>
      <c r="U221" s="574"/>
      <c r="V221" s="574"/>
      <c r="W221" s="574"/>
      <c r="X221" s="572"/>
      <c r="Y221" s="572"/>
      <c r="Z221" s="572"/>
      <c r="AB221" s="573"/>
    </row>
    <row r="222" spans="1:28" s="575" customFormat="1">
      <c r="A222" s="616"/>
      <c r="B222" s="576" t="s">
        <v>868</v>
      </c>
      <c r="C222" s="591"/>
      <c r="D222" s="617"/>
      <c r="E222" s="618">
        <v>22</v>
      </c>
      <c r="F222" s="619"/>
      <c r="G222" s="620">
        <v>3</v>
      </c>
      <c r="H222" s="621">
        <f t="shared" si="4"/>
        <v>66</v>
      </c>
      <c r="I222" s="622"/>
      <c r="J222" s="623"/>
      <c r="K222" s="586">
        <f t="shared" si="2"/>
        <v>66</v>
      </c>
      <c r="L222" s="586"/>
      <c r="M222" s="571"/>
      <c r="N222" s="577" t="s">
        <v>611</v>
      </c>
      <c r="O222" s="577">
        <v>1</v>
      </c>
      <c r="P222" s="577" t="s">
        <v>611</v>
      </c>
      <c r="Q222" s="572"/>
      <c r="R222" s="573"/>
      <c r="S222" s="574"/>
      <c r="T222" s="574"/>
      <c r="U222" s="574"/>
      <c r="V222" s="574"/>
      <c r="W222" s="574"/>
      <c r="X222" s="572"/>
      <c r="Y222" s="572"/>
      <c r="Z222" s="572"/>
      <c r="AB222" s="573" t="s">
        <v>668</v>
      </c>
    </row>
    <row r="223" spans="1:28" s="575" customFormat="1">
      <c r="A223" s="616"/>
      <c r="B223" s="576" t="s">
        <v>869</v>
      </c>
      <c r="C223" s="591"/>
      <c r="D223" s="617"/>
      <c r="E223" s="618">
        <v>17.399999999999999</v>
      </c>
      <c r="F223" s="619"/>
      <c r="G223" s="620">
        <v>3</v>
      </c>
      <c r="H223" s="621">
        <f t="shared" si="4"/>
        <v>52.199999999999996</v>
      </c>
      <c r="I223" s="622"/>
      <c r="J223" s="623"/>
      <c r="K223" s="586">
        <f t="shared" si="2"/>
        <v>52.199999999999996</v>
      </c>
      <c r="L223" s="586"/>
      <c r="M223" s="571"/>
      <c r="N223" s="577" t="s">
        <v>611</v>
      </c>
      <c r="O223" s="577">
        <v>1</v>
      </c>
      <c r="P223" s="577" t="s">
        <v>611</v>
      </c>
      <c r="Q223" s="572"/>
      <c r="R223" s="573"/>
      <c r="S223" s="574"/>
      <c r="T223" s="574"/>
      <c r="U223" s="574"/>
      <c r="V223" s="574"/>
      <c r="W223" s="574"/>
      <c r="X223" s="572"/>
      <c r="Y223" s="572"/>
      <c r="Z223" s="572"/>
      <c r="AB223" s="573" t="s">
        <v>668</v>
      </c>
    </row>
    <row r="224" spans="1:28" s="575" customFormat="1">
      <c r="A224" s="616"/>
      <c r="B224" s="576" t="s">
        <v>816</v>
      </c>
      <c r="C224" s="591"/>
      <c r="D224" s="617"/>
      <c r="E224" s="618">
        <v>7.6</v>
      </c>
      <c r="F224" s="619"/>
      <c r="G224" s="620">
        <v>2.6</v>
      </c>
      <c r="H224" s="621">
        <f t="shared" si="4"/>
        <v>19.759999999999998</v>
      </c>
      <c r="I224" s="622"/>
      <c r="J224" s="623"/>
      <c r="K224" s="586">
        <f t="shared" si="2"/>
        <v>19.759999999999998</v>
      </c>
      <c r="L224" s="586"/>
      <c r="M224" s="571"/>
      <c r="N224" s="577" t="s">
        <v>611</v>
      </c>
      <c r="O224" s="577">
        <v>1</v>
      </c>
      <c r="P224" s="577" t="s">
        <v>611</v>
      </c>
      <c r="Q224" s="572"/>
      <c r="R224" s="573"/>
      <c r="S224" s="574"/>
      <c r="T224" s="574"/>
      <c r="U224" s="574"/>
      <c r="V224" s="574"/>
      <c r="W224" s="574"/>
      <c r="X224" s="572"/>
      <c r="Y224" s="572"/>
      <c r="Z224" s="572"/>
      <c r="AB224" s="573" t="s">
        <v>668</v>
      </c>
    </row>
    <row r="225" spans="1:28" s="599" customFormat="1" ht="20.25">
      <c r="A225" s="624"/>
      <c r="B225" s="592" t="s">
        <v>694</v>
      </c>
      <c r="C225" s="625"/>
      <c r="D225" s="626">
        <v>-1</v>
      </c>
      <c r="E225" s="627">
        <f>VLOOKUP(B225,'[10]auxiliar memoria'!$B$155:$E$302,2,FALSE)</f>
        <v>4.9499999999999993</v>
      </c>
      <c r="F225" s="628"/>
      <c r="G225" s="629">
        <f>VLOOKUP(B225,'[10]auxiliar memoria'!$B$155:$E$302,3,FALSE)</f>
        <v>1</v>
      </c>
      <c r="H225" s="629">
        <f>IF(D225=0,"",IF(AND(D225&lt;0,E225*G225&gt;2),(ABS((2-(G225*E225)))*D225),IF(D225&gt;0,D225*E225*G225,0)))</f>
        <v>-2.9499999999999993</v>
      </c>
      <c r="I225" s="630"/>
      <c r="J225" s="631"/>
      <c r="K225" s="593">
        <f>H225</f>
        <v>-2.9499999999999993</v>
      </c>
      <c r="L225" s="593"/>
      <c r="M225" s="594"/>
      <c r="N225" s="595" t="s">
        <v>611</v>
      </c>
      <c r="O225" s="595">
        <f>O224</f>
        <v>1</v>
      </c>
      <c r="P225" s="595" t="s">
        <v>611</v>
      </c>
      <c r="Q225" s="596"/>
      <c r="R225" s="597"/>
      <c r="S225" s="598"/>
      <c r="T225" s="598"/>
      <c r="U225" s="598"/>
      <c r="V225" s="598"/>
      <c r="W225" s="598"/>
      <c r="X225" s="596"/>
      <c r="Y225" s="596"/>
      <c r="Z225" s="596"/>
      <c r="AB225" s="597" t="s">
        <v>668</v>
      </c>
    </row>
    <row r="226" spans="1:28" s="575" customFormat="1">
      <c r="A226" s="616"/>
      <c r="B226" s="576" t="s">
        <v>870</v>
      </c>
      <c r="C226" s="591"/>
      <c r="D226" s="617"/>
      <c r="E226" s="618">
        <v>6.21</v>
      </c>
      <c r="F226" s="619"/>
      <c r="G226" s="620">
        <v>2.6</v>
      </c>
      <c r="H226" s="621">
        <f t="shared" si="4"/>
        <v>16.146000000000001</v>
      </c>
      <c r="I226" s="622"/>
      <c r="J226" s="623"/>
      <c r="K226" s="586">
        <f t="shared" si="2"/>
        <v>16.146000000000001</v>
      </c>
      <c r="L226" s="586"/>
      <c r="M226" s="571"/>
      <c r="N226" s="577" t="s">
        <v>611</v>
      </c>
      <c r="O226" s="577">
        <v>2</v>
      </c>
      <c r="P226" s="577" t="s">
        <v>611</v>
      </c>
      <c r="Q226" s="572"/>
      <c r="R226" s="573"/>
      <c r="S226" s="574"/>
      <c r="T226" s="574"/>
      <c r="U226" s="574"/>
      <c r="V226" s="574"/>
      <c r="W226" s="574"/>
      <c r="X226" s="572"/>
      <c r="Y226" s="572"/>
      <c r="Z226" s="572"/>
      <c r="AB226" s="573" t="s">
        <v>668</v>
      </c>
    </row>
    <row r="227" spans="1:28" s="575" customFormat="1">
      <c r="A227" s="616"/>
      <c r="B227" s="576" t="s">
        <v>172</v>
      </c>
      <c r="C227" s="591"/>
      <c r="D227" s="617"/>
      <c r="E227" s="618">
        <v>8.1999999999999993</v>
      </c>
      <c r="F227" s="619"/>
      <c r="G227" s="620">
        <v>1.5</v>
      </c>
      <c r="H227" s="621">
        <f t="shared" si="4"/>
        <v>12.299999999999999</v>
      </c>
      <c r="I227" s="622"/>
      <c r="J227" s="623"/>
      <c r="K227" s="586">
        <f t="shared" si="2"/>
        <v>12.299999999999999</v>
      </c>
      <c r="L227" s="586"/>
      <c r="M227" s="571"/>
      <c r="N227" s="577" t="s">
        <v>611</v>
      </c>
      <c r="O227" s="543">
        <v>2</v>
      </c>
      <c r="P227" s="577" t="s">
        <v>611</v>
      </c>
      <c r="Q227" s="572"/>
      <c r="R227" s="573"/>
      <c r="S227" s="574"/>
      <c r="T227" s="574"/>
      <c r="U227" s="574"/>
      <c r="V227" s="574"/>
      <c r="W227" s="574"/>
      <c r="X227" s="572"/>
      <c r="Y227" s="572"/>
      <c r="Z227" s="572"/>
      <c r="AB227" s="573" t="s">
        <v>668</v>
      </c>
    </row>
    <row r="228" spans="1:28" s="575" customFormat="1">
      <c r="A228" s="616"/>
      <c r="B228" s="576" t="s">
        <v>750</v>
      </c>
      <c r="C228" s="591"/>
      <c r="D228" s="617"/>
      <c r="E228" s="618">
        <v>8.1999999999999993</v>
      </c>
      <c r="F228" s="619"/>
      <c r="G228" s="620">
        <v>1.5</v>
      </c>
      <c r="H228" s="621">
        <f t="shared" si="4"/>
        <v>12.299999999999999</v>
      </c>
      <c r="I228" s="622"/>
      <c r="J228" s="623"/>
      <c r="K228" s="586">
        <f t="shared" si="2"/>
        <v>12.299999999999999</v>
      </c>
      <c r="L228" s="586"/>
      <c r="M228" s="571"/>
      <c r="N228" s="577" t="s">
        <v>611</v>
      </c>
      <c r="O228" s="543">
        <v>2</v>
      </c>
      <c r="P228" s="577" t="s">
        <v>611</v>
      </c>
      <c r="Q228" s="572"/>
      <c r="R228" s="573"/>
      <c r="S228" s="574"/>
      <c r="T228" s="574"/>
      <c r="U228" s="574"/>
      <c r="V228" s="574"/>
      <c r="W228" s="574"/>
      <c r="X228" s="572"/>
      <c r="Y228" s="572"/>
      <c r="Z228" s="572"/>
      <c r="AB228" s="573" t="s">
        <v>668</v>
      </c>
    </row>
    <row r="229" spans="1:28" s="575" customFormat="1">
      <c r="A229" s="616"/>
      <c r="B229" s="591" t="s">
        <v>674</v>
      </c>
      <c r="C229" s="591"/>
      <c r="D229" s="617"/>
      <c r="E229" s="618"/>
      <c r="F229" s="619"/>
      <c r="G229" s="620"/>
      <c r="H229" s="622"/>
      <c r="I229" s="622"/>
      <c r="J229" s="623"/>
      <c r="K229" s="586"/>
      <c r="L229" s="586"/>
      <c r="M229" s="571"/>
      <c r="N229" s="577" t="s">
        <v>611</v>
      </c>
      <c r="O229" s="577" t="s">
        <v>611</v>
      </c>
      <c r="P229" s="577" t="s">
        <v>611</v>
      </c>
      <c r="Q229" s="572"/>
      <c r="R229" s="573"/>
      <c r="S229" s="574"/>
      <c r="T229" s="574"/>
      <c r="U229" s="574"/>
      <c r="V229" s="574"/>
      <c r="W229" s="574"/>
      <c r="X229" s="572"/>
      <c r="Y229" s="572"/>
      <c r="Z229" s="572"/>
      <c r="AB229" s="573" t="s">
        <v>668</v>
      </c>
    </row>
    <row r="230" spans="1:28" s="575" customFormat="1">
      <c r="A230" s="616"/>
      <c r="B230" s="591" t="s">
        <v>817</v>
      </c>
      <c r="C230" s="591"/>
      <c r="D230" s="617"/>
      <c r="E230" s="618"/>
      <c r="F230" s="619"/>
      <c r="G230" s="620"/>
      <c r="H230" s="622"/>
      <c r="I230" s="622"/>
      <c r="J230" s="623"/>
      <c r="K230" s="586">
        <f t="shared" ref="K230:K261" si="7">H230</f>
        <v>0</v>
      </c>
      <c r="L230" s="586"/>
      <c r="M230" s="571"/>
      <c r="N230" s="577" t="s">
        <v>611</v>
      </c>
      <c r="O230" s="577" t="s">
        <v>611</v>
      </c>
      <c r="P230" s="577" t="s">
        <v>611</v>
      </c>
      <c r="Q230" s="572"/>
      <c r="R230" s="573"/>
      <c r="S230" s="574"/>
      <c r="T230" s="574"/>
      <c r="U230" s="574"/>
      <c r="V230" s="574"/>
      <c r="W230" s="574"/>
      <c r="X230" s="572"/>
      <c r="Y230" s="572"/>
      <c r="Z230" s="572"/>
      <c r="AB230" s="573" t="s">
        <v>668</v>
      </c>
    </row>
    <row r="231" spans="1:28" s="575" customFormat="1">
      <c r="A231" s="616"/>
      <c r="B231" s="576" t="s">
        <v>673</v>
      </c>
      <c r="C231" s="591"/>
      <c r="D231" s="617"/>
      <c r="E231" s="618">
        <f>8.85+4.1</f>
        <v>12.95</v>
      </c>
      <c r="F231" s="619"/>
      <c r="G231" s="620">
        <v>4.75</v>
      </c>
      <c r="H231" s="621">
        <f t="shared" ref="H231:H261" si="8">G231*E231</f>
        <v>61.512499999999996</v>
      </c>
      <c r="I231" s="622"/>
      <c r="J231" s="623"/>
      <c r="K231" s="586">
        <f t="shared" si="7"/>
        <v>61.512499999999996</v>
      </c>
      <c r="L231" s="586"/>
      <c r="M231" s="571"/>
      <c r="N231" s="577" t="s">
        <v>611</v>
      </c>
      <c r="O231" s="577">
        <v>3</v>
      </c>
      <c r="P231" s="577" t="s">
        <v>611</v>
      </c>
      <c r="Q231" s="572"/>
      <c r="R231" s="573"/>
      <c r="S231" s="574"/>
      <c r="T231" s="574"/>
      <c r="U231" s="574"/>
      <c r="V231" s="574"/>
      <c r="W231" s="574"/>
      <c r="X231" s="572"/>
      <c r="Y231" s="572"/>
      <c r="Z231" s="572"/>
      <c r="AB231" s="573" t="s">
        <v>668</v>
      </c>
    </row>
    <row r="232" spans="1:28" s="575" customFormat="1">
      <c r="A232" s="616"/>
      <c r="B232" s="576" t="s">
        <v>820</v>
      </c>
      <c r="C232" s="591"/>
      <c r="D232" s="617"/>
      <c r="E232" s="618">
        <v>14.35</v>
      </c>
      <c r="F232" s="619"/>
      <c r="G232" s="620">
        <v>3.45</v>
      </c>
      <c r="H232" s="621">
        <f t="shared" si="8"/>
        <v>49.5075</v>
      </c>
      <c r="I232" s="622"/>
      <c r="J232" s="623"/>
      <c r="K232" s="586">
        <f t="shared" si="7"/>
        <v>49.5075</v>
      </c>
      <c r="L232" s="586"/>
      <c r="M232" s="571"/>
      <c r="N232" s="577" t="s">
        <v>611</v>
      </c>
      <c r="O232" s="577">
        <v>3</v>
      </c>
      <c r="P232" s="577" t="s">
        <v>611</v>
      </c>
      <c r="Q232" s="572"/>
      <c r="R232" s="573"/>
      <c r="S232" s="574"/>
      <c r="T232" s="574"/>
      <c r="U232" s="574"/>
      <c r="V232" s="574"/>
      <c r="W232" s="574"/>
      <c r="X232" s="572"/>
      <c r="Y232" s="572"/>
      <c r="Z232" s="572"/>
      <c r="AB232" s="573" t="s">
        <v>668</v>
      </c>
    </row>
    <row r="233" spans="1:28" s="599" customFormat="1" ht="20.25">
      <c r="A233" s="624"/>
      <c r="B233" s="592" t="s">
        <v>889</v>
      </c>
      <c r="C233" s="625"/>
      <c r="D233" s="626">
        <v>-1</v>
      </c>
      <c r="E233" s="627">
        <f>VLOOKUP(B233,'[10]auxiliar memoria'!$B$155:$E$302,2,FALSE)</f>
        <v>5.84</v>
      </c>
      <c r="F233" s="628"/>
      <c r="G233" s="629">
        <f>VLOOKUP(B233,'[10]auxiliar memoria'!$B$155:$E$302,3,FALSE)</f>
        <v>2.1</v>
      </c>
      <c r="H233" s="629">
        <f>IF(D233=0,"",IF(AND(D233&lt;0,E233*G233&gt;2),(ABS((2-(G233*E233)))*D233),IF(D233&gt;0,D233*E233*G233,0)))</f>
        <v>-10.263999999999999</v>
      </c>
      <c r="I233" s="630"/>
      <c r="J233" s="631"/>
      <c r="K233" s="593">
        <f>H233</f>
        <v>-10.263999999999999</v>
      </c>
      <c r="L233" s="593"/>
      <c r="M233" s="594"/>
      <c r="N233" s="595" t="s">
        <v>611</v>
      </c>
      <c r="O233" s="595">
        <v>5</v>
      </c>
      <c r="P233" s="595" t="s">
        <v>611</v>
      </c>
      <c r="Q233" s="596"/>
      <c r="R233" s="597"/>
      <c r="S233" s="598"/>
      <c r="T233" s="598"/>
      <c r="U233" s="598"/>
      <c r="V233" s="598"/>
      <c r="W233" s="598"/>
      <c r="X233" s="596"/>
      <c r="Y233" s="596"/>
      <c r="Z233" s="596"/>
      <c r="AB233" s="597" t="s">
        <v>668</v>
      </c>
    </row>
    <row r="234" spans="1:28" s="599" customFormat="1" ht="20.25">
      <c r="A234" s="624"/>
      <c r="B234" s="592" t="s">
        <v>890</v>
      </c>
      <c r="C234" s="625"/>
      <c r="D234" s="626">
        <v>-1</v>
      </c>
      <c r="E234" s="627">
        <f>VLOOKUP(B234,'[10]auxiliar memoria'!$B$155:$E$302,2,FALSE)</f>
        <v>1.8</v>
      </c>
      <c r="F234" s="628"/>
      <c r="G234" s="629">
        <f>VLOOKUP(B234,'[10]auxiliar memoria'!$B$155:$E$302,3,FALSE)</f>
        <v>2.1</v>
      </c>
      <c r="H234" s="629">
        <f>IF(D234=0,"",IF(AND(D234&lt;0,E234*G234&gt;2),(ABS((2-(G234*E234)))*D234),IF(D234&gt;0,D234*E234*G234,0)))</f>
        <v>-1.7800000000000002</v>
      </c>
      <c r="I234" s="630"/>
      <c r="J234" s="631"/>
      <c r="K234" s="593">
        <f>H234</f>
        <v>-1.7800000000000002</v>
      </c>
      <c r="L234" s="593"/>
      <c r="M234" s="594"/>
      <c r="N234" s="595" t="s">
        <v>611</v>
      </c>
      <c r="O234" s="595">
        <v>5</v>
      </c>
      <c r="P234" s="595" t="s">
        <v>611</v>
      </c>
      <c r="Q234" s="596"/>
      <c r="R234" s="597"/>
      <c r="S234" s="598"/>
      <c r="T234" s="598"/>
      <c r="U234" s="598"/>
      <c r="V234" s="598"/>
      <c r="W234" s="598"/>
      <c r="X234" s="596"/>
      <c r="Y234" s="596"/>
      <c r="Z234" s="596"/>
      <c r="AB234" s="597" t="s">
        <v>668</v>
      </c>
    </row>
    <row r="235" spans="1:28" s="575" customFormat="1">
      <c r="A235" s="616"/>
      <c r="B235" s="576" t="s">
        <v>891</v>
      </c>
      <c r="C235" s="591"/>
      <c r="D235" s="617"/>
      <c r="E235" s="618">
        <v>6.55</v>
      </c>
      <c r="F235" s="619"/>
      <c r="G235" s="620">
        <v>1.3</v>
      </c>
      <c r="H235" s="621">
        <f>G235*E235</f>
        <v>8.5150000000000006</v>
      </c>
      <c r="I235" s="622"/>
      <c r="J235" s="623"/>
      <c r="K235" s="586">
        <f>H235</f>
        <v>8.5150000000000006</v>
      </c>
      <c r="L235" s="586"/>
      <c r="M235" s="571"/>
      <c r="N235" s="577" t="s">
        <v>611</v>
      </c>
      <c r="O235" s="577">
        <v>3</v>
      </c>
      <c r="P235" s="577" t="s">
        <v>611</v>
      </c>
      <c r="Q235" s="572"/>
      <c r="R235" s="573"/>
      <c r="S235" s="574"/>
      <c r="T235" s="574"/>
      <c r="U235" s="574"/>
      <c r="V235" s="574"/>
      <c r="W235" s="574"/>
      <c r="X235" s="572"/>
      <c r="Y235" s="572"/>
      <c r="Z235" s="572"/>
      <c r="AB235" s="573" t="s">
        <v>668</v>
      </c>
    </row>
    <row r="236" spans="1:28" s="575" customFormat="1">
      <c r="A236" s="616"/>
      <c r="B236" s="576" t="s">
        <v>892</v>
      </c>
      <c r="C236" s="591"/>
      <c r="D236" s="617"/>
      <c r="E236" s="618">
        <v>7.75</v>
      </c>
      <c r="F236" s="619"/>
      <c r="G236" s="620">
        <v>4.3499999999999996</v>
      </c>
      <c r="H236" s="621">
        <f t="shared" si="8"/>
        <v>33.712499999999999</v>
      </c>
      <c r="I236" s="622"/>
      <c r="J236" s="623"/>
      <c r="K236" s="586">
        <f t="shared" si="7"/>
        <v>33.712499999999999</v>
      </c>
      <c r="L236" s="586"/>
      <c r="M236" s="571"/>
      <c r="N236" s="577" t="s">
        <v>611</v>
      </c>
      <c r="O236" s="577">
        <v>3</v>
      </c>
      <c r="P236" s="577" t="s">
        <v>611</v>
      </c>
      <c r="Q236" s="572"/>
      <c r="R236" s="573"/>
      <c r="S236" s="574"/>
      <c r="T236" s="574"/>
      <c r="U236" s="574"/>
      <c r="V236" s="574"/>
      <c r="W236" s="574"/>
      <c r="X236" s="572"/>
      <c r="Y236" s="572"/>
      <c r="Z236" s="572"/>
      <c r="AB236" s="573" t="s">
        <v>668</v>
      </c>
    </row>
    <row r="237" spans="1:28" s="575" customFormat="1">
      <c r="A237" s="616"/>
      <c r="B237" s="576" t="s">
        <v>893</v>
      </c>
      <c r="C237" s="591"/>
      <c r="D237" s="617"/>
      <c r="E237" s="618">
        <v>7.75</v>
      </c>
      <c r="F237" s="619"/>
      <c r="G237" s="620">
        <v>4.3499999999999996</v>
      </c>
      <c r="H237" s="621">
        <f>G237*E237</f>
        <v>33.712499999999999</v>
      </c>
      <c r="I237" s="622"/>
      <c r="J237" s="623"/>
      <c r="K237" s="586">
        <f>H237</f>
        <v>33.712499999999999</v>
      </c>
      <c r="L237" s="586"/>
      <c r="M237" s="571"/>
      <c r="N237" s="577" t="s">
        <v>611</v>
      </c>
      <c r="O237" s="577">
        <v>3</v>
      </c>
      <c r="P237" s="577" t="s">
        <v>611</v>
      </c>
      <c r="Q237" s="572"/>
      <c r="R237" s="573"/>
      <c r="S237" s="574"/>
      <c r="T237" s="574"/>
      <c r="U237" s="574"/>
      <c r="V237" s="574"/>
      <c r="W237" s="574"/>
      <c r="X237" s="572"/>
      <c r="Y237" s="572"/>
      <c r="Z237" s="572"/>
      <c r="AB237" s="573" t="s">
        <v>668</v>
      </c>
    </row>
    <row r="238" spans="1:28" s="575" customFormat="1">
      <c r="A238" s="616"/>
      <c r="B238" s="576" t="s">
        <v>894</v>
      </c>
      <c r="C238" s="591"/>
      <c r="D238" s="617"/>
      <c r="E238" s="618">
        <v>6.2</v>
      </c>
      <c r="F238" s="619"/>
      <c r="G238" s="620">
        <v>2.8</v>
      </c>
      <c r="H238" s="621">
        <f t="shared" si="8"/>
        <v>17.36</v>
      </c>
      <c r="I238" s="622"/>
      <c r="J238" s="623"/>
      <c r="K238" s="586">
        <f t="shared" si="7"/>
        <v>17.36</v>
      </c>
      <c r="L238" s="586"/>
      <c r="M238" s="571"/>
      <c r="N238" s="577" t="s">
        <v>611</v>
      </c>
      <c r="O238" s="577">
        <v>3</v>
      </c>
      <c r="P238" s="577" t="s">
        <v>611</v>
      </c>
      <c r="Q238" s="572"/>
      <c r="R238" s="573"/>
      <c r="S238" s="574"/>
      <c r="T238" s="574"/>
      <c r="U238" s="574"/>
      <c r="V238" s="574"/>
      <c r="W238" s="574"/>
      <c r="X238" s="572"/>
      <c r="Y238" s="572"/>
      <c r="Z238" s="572"/>
      <c r="AB238" s="573" t="s">
        <v>668</v>
      </c>
    </row>
    <row r="239" spans="1:28" s="599" customFormat="1" ht="20.25">
      <c r="A239" s="624"/>
      <c r="B239" s="592" t="s">
        <v>694</v>
      </c>
      <c r="C239" s="625"/>
      <c r="D239" s="626">
        <v>-1</v>
      </c>
      <c r="E239" s="627">
        <f>VLOOKUP(B239,'[10]auxiliar memoria'!$B$155:$E$302,2,FALSE)</f>
        <v>4.9499999999999993</v>
      </c>
      <c r="F239" s="628"/>
      <c r="G239" s="629">
        <f>VLOOKUP(B239,'[10]auxiliar memoria'!$B$155:$E$302,3,FALSE)</f>
        <v>1</v>
      </c>
      <c r="H239" s="629">
        <f>IF(D239=0,"",IF(AND(D239&lt;0,E239*G239&gt;2),(ABS((2-(G239*E239)))*D239),IF(D239&gt;0,D239*E239*G239,0)))</f>
        <v>-2.9499999999999993</v>
      </c>
      <c r="I239" s="630"/>
      <c r="J239" s="631"/>
      <c r="K239" s="593">
        <f>H239</f>
        <v>-2.9499999999999993</v>
      </c>
      <c r="L239" s="593"/>
      <c r="M239" s="594"/>
      <c r="N239" s="595" t="s">
        <v>611</v>
      </c>
      <c r="O239" s="595">
        <f>O238</f>
        <v>3</v>
      </c>
      <c r="P239" s="595" t="s">
        <v>611</v>
      </c>
      <c r="Q239" s="596"/>
      <c r="R239" s="597"/>
      <c r="S239" s="598"/>
      <c r="T239" s="598"/>
      <c r="U239" s="598"/>
      <c r="V239" s="598"/>
      <c r="W239" s="598"/>
      <c r="X239" s="596"/>
      <c r="Y239" s="596"/>
      <c r="Z239" s="596"/>
      <c r="AB239" s="597" t="s">
        <v>668</v>
      </c>
    </row>
    <row r="240" spans="1:28" s="575" customFormat="1" ht="29.25" customHeight="1">
      <c r="A240" s="616"/>
      <c r="B240" s="576" t="s">
        <v>895</v>
      </c>
      <c r="C240" s="591"/>
      <c r="D240" s="617"/>
      <c r="E240" s="618">
        <f>2.3+0.15</f>
        <v>2.4499999999999997</v>
      </c>
      <c r="F240" s="619"/>
      <c r="G240" s="620">
        <v>1.3</v>
      </c>
      <c r="H240" s="621">
        <f t="shared" si="8"/>
        <v>3.1849999999999996</v>
      </c>
      <c r="I240" s="622"/>
      <c r="J240" s="623"/>
      <c r="K240" s="586">
        <f t="shared" si="7"/>
        <v>3.1849999999999996</v>
      </c>
      <c r="L240" s="586"/>
      <c r="M240" s="571"/>
      <c r="N240" s="577" t="s">
        <v>611</v>
      </c>
      <c r="O240" s="577">
        <v>3</v>
      </c>
      <c r="P240" s="577" t="s">
        <v>611</v>
      </c>
      <c r="Q240" s="572"/>
      <c r="R240" s="573"/>
      <c r="S240" s="574"/>
      <c r="T240" s="574"/>
      <c r="U240" s="574"/>
      <c r="V240" s="574"/>
      <c r="W240" s="574"/>
      <c r="X240" s="572"/>
      <c r="Y240" s="572"/>
      <c r="Z240" s="572"/>
      <c r="AB240" s="573" t="s">
        <v>668</v>
      </c>
    </row>
    <row r="241" spans="1:28" s="575" customFormat="1" ht="29.25" customHeight="1">
      <c r="A241" s="616"/>
      <c r="B241" s="576" t="s">
        <v>896</v>
      </c>
      <c r="C241" s="591"/>
      <c r="D241" s="617"/>
      <c r="E241" s="618">
        <f>2.3+0.15</f>
        <v>2.4499999999999997</v>
      </c>
      <c r="F241" s="619"/>
      <c r="G241" s="620">
        <v>1.3</v>
      </c>
      <c r="H241" s="621">
        <f>G241*E241</f>
        <v>3.1849999999999996</v>
      </c>
      <c r="I241" s="622"/>
      <c r="J241" s="623"/>
      <c r="K241" s="586">
        <f>H241</f>
        <v>3.1849999999999996</v>
      </c>
      <c r="L241" s="586"/>
      <c r="M241" s="571"/>
      <c r="N241" s="577" t="s">
        <v>611</v>
      </c>
      <c r="O241" s="577">
        <v>3</v>
      </c>
      <c r="P241" s="577" t="s">
        <v>611</v>
      </c>
      <c r="Q241" s="572"/>
      <c r="R241" s="573"/>
      <c r="S241" s="574"/>
      <c r="T241" s="574"/>
      <c r="U241" s="574"/>
      <c r="V241" s="574"/>
      <c r="W241" s="574"/>
      <c r="X241" s="572"/>
      <c r="Y241" s="572"/>
      <c r="Z241" s="572"/>
      <c r="AB241" s="573" t="s">
        <v>668</v>
      </c>
    </row>
    <row r="242" spans="1:28" s="575" customFormat="1">
      <c r="A242" s="616"/>
      <c r="B242" s="576" t="s">
        <v>897</v>
      </c>
      <c r="C242" s="591"/>
      <c r="D242" s="617"/>
      <c r="E242" s="618">
        <v>52.7</v>
      </c>
      <c r="F242" s="619"/>
      <c r="G242" s="620">
        <v>4.75</v>
      </c>
      <c r="H242" s="621">
        <f t="shared" si="8"/>
        <v>250.32500000000002</v>
      </c>
      <c r="I242" s="622"/>
      <c r="J242" s="623"/>
      <c r="K242" s="586">
        <f t="shared" si="7"/>
        <v>250.32500000000002</v>
      </c>
      <c r="L242" s="586"/>
      <c r="M242" s="571"/>
      <c r="N242" s="577" t="s">
        <v>611</v>
      </c>
      <c r="O242" s="577">
        <v>3</v>
      </c>
      <c r="P242" s="577" t="s">
        <v>611</v>
      </c>
      <c r="Q242" s="572"/>
      <c r="R242" s="573"/>
      <c r="S242" s="574"/>
      <c r="T242" s="574"/>
      <c r="U242" s="574"/>
      <c r="V242" s="574"/>
      <c r="W242" s="574"/>
      <c r="X242" s="572"/>
      <c r="Y242" s="572"/>
      <c r="Z242" s="572"/>
      <c r="AB242" s="573" t="s">
        <v>668</v>
      </c>
    </row>
    <row r="243" spans="1:28" s="575" customFormat="1">
      <c r="A243" s="616"/>
      <c r="B243" s="576" t="s">
        <v>823</v>
      </c>
      <c r="C243" s="591"/>
      <c r="D243" s="617"/>
      <c r="E243" s="618">
        <v>1.4</v>
      </c>
      <c r="F243" s="619"/>
      <c r="G243" s="620">
        <v>1.95</v>
      </c>
      <c r="H243" s="621">
        <f t="shared" si="8"/>
        <v>2.73</v>
      </c>
      <c r="I243" s="622"/>
      <c r="J243" s="623"/>
      <c r="K243" s="586">
        <f t="shared" si="7"/>
        <v>2.73</v>
      </c>
      <c r="L243" s="586"/>
      <c r="M243" s="571"/>
      <c r="N243" s="577" t="s">
        <v>611</v>
      </c>
      <c r="O243" s="577">
        <v>3</v>
      </c>
      <c r="P243" s="577" t="s">
        <v>611</v>
      </c>
      <c r="Q243" s="572"/>
      <c r="R243" s="573"/>
      <c r="S243" s="574"/>
      <c r="T243" s="574"/>
      <c r="U243" s="574"/>
      <c r="V243" s="574"/>
      <c r="W243" s="574"/>
      <c r="X243" s="572"/>
      <c r="Y243" s="572"/>
      <c r="Z243" s="572"/>
      <c r="AB243" s="573" t="s">
        <v>668</v>
      </c>
    </row>
    <row r="244" spans="1:28" s="575" customFormat="1">
      <c r="A244" s="616"/>
      <c r="B244" s="576" t="s">
        <v>898</v>
      </c>
      <c r="C244" s="591"/>
      <c r="D244" s="617"/>
      <c r="E244" s="618">
        <v>3.4329999999999998</v>
      </c>
      <c r="F244" s="619"/>
      <c r="G244" s="620">
        <v>2.8</v>
      </c>
      <c r="H244" s="621">
        <f t="shared" si="8"/>
        <v>9.6123999999999992</v>
      </c>
      <c r="I244" s="622"/>
      <c r="J244" s="623"/>
      <c r="K244" s="586">
        <f t="shared" si="7"/>
        <v>9.6123999999999992</v>
      </c>
      <c r="L244" s="586"/>
      <c r="M244" s="571"/>
      <c r="N244" s="577" t="s">
        <v>611</v>
      </c>
      <c r="O244" s="577">
        <v>3</v>
      </c>
      <c r="P244" s="577" t="s">
        <v>611</v>
      </c>
      <c r="Q244" s="572"/>
      <c r="R244" s="573"/>
      <c r="S244" s="574"/>
      <c r="T244" s="574"/>
      <c r="U244" s="574"/>
      <c r="V244" s="574"/>
      <c r="W244" s="574"/>
      <c r="X244" s="572"/>
      <c r="Y244" s="572"/>
      <c r="Z244" s="572"/>
      <c r="AB244" s="573" t="s">
        <v>668</v>
      </c>
    </row>
    <row r="245" spans="1:28" s="575" customFormat="1">
      <c r="A245" s="616"/>
      <c r="B245" s="576" t="s">
        <v>824</v>
      </c>
      <c r="C245" s="591"/>
      <c r="D245" s="617"/>
      <c r="E245" s="618">
        <v>54.85</v>
      </c>
      <c r="F245" s="619"/>
      <c r="G245" s="620">
        <v>0.5</v>
      </c>
      <c r="H245" s="621">
        <f t="shared" si="8"/>
        <v>27.425000000000001</v>
      </c>
      <c r="I245" s="622"/>
      <c r="J245" s="623"/>
      <c r="K245" s="586">
        <f t="shared" si="7"/>
        <v>27.425000000000001</v>
      </c>
      <c r="L245" s="586"/>
      <c r="M245" s="571"/>
      <c r="N245" s="577" t="s">
        <v>611</v>
      </c>
      <c r="O245" s="577">
        <v>3</v>
      </c>
      <c r="P245" s="577" t="s">
        <v>611</v>
      </c>
      <c r="Q245" s="572"/>
      <c r="R245" s="573"/>
      <c r="S245" s="574"/>
      <c r="T245" s="574"/>
      <c r="U245" s="574"/>
      <c r="V245" s="574"/>
      <c r="W245" s="574"/>
      <c r="X245" s="572"/>
      <c r="Y245" s="572"/>
      <c r="Z245" s="572"/>
      <c r="AB245" s="573" t="s">
        <v>668</v>
      </c>
    </row>
    <row r="246" spans="1:28" s="575" customFormat="1">
      <c r="A246" s="616"/>
      <c r="B246" s="576" t="s">
        <v>899</v>
      </c>
      <c r="C246" s="591"/>
      <c r="D246" s="617"/>
      <c r="E246" s="618">
        <v>54.54</v>
      </c>
      <c r="F246" s="619"/>
      <c r="G246" s="620">
        <v>0.3</v>
      </c>
      <c r="H246" s="621">
        <f t="shared" si="8"/>
        <v>16.361999999999998</v>
      </c>
      <c r="I246" s="622"/>
      <c r="J246" s="623"/>
      <c r="K246" s="586">
        <f t="shared" si="7"/>
        <v>16.361999999999998</v>
      </c>
      <c r="L246" s="586"/>
      <c r="M246" s="571"/>
      <c r="N246" s="577" t="s">
        <v>611</v>
      </c>
      <c r="O246" s="577">
        <v>3</v>
      </c>
      <c r="P246" s="577" t="s">
        <v>611</v>
      </c>
      <c r="Q246" s="572"/>
      <c r="R246" s="573"/>
      <c r="S246" s="574"/>
      <c r="T246" s="574"/>
      <c r="U246" s="574"/>
      <c r="V246" s="574"/>
      <c r="W246" s="574"/>
      <c r="X246" s="572"/>
      <c r="Y246" s="572"/>
      <c r="Z246" s="572"/>
      <c r="AB246" s="573" t="s">
        <v>668</v>
      </c>
    </row>
    <row r="247" spans="1:28" s="575" customFormat="1">
      <c r="A247" s="616"/>
      <c r="B247" s="576" t="s">
        <v>825</v>
      </c>
      <c r="C247" s="591"/>
      <c r="D247" s="617"/>
      <c r="E247" s="618">
        <v>14.4</v>
      </c>
      <c r="F247" s="619"/>
      <c r="G247" s="620">
        <v>4.75</v>
      </c>
      <c r="H247" s="621">
        <f t="shared" si="8"/>
        <v>68.400000000000006</v>
      </c>
      <c r="I247" s="622"/>
      <c r="J247" s="623"/>
      <c r="K247" s="586">
        <f t="shared" si="7"/>
        <v>68.400000000000006</v>
      </c>
      <c r="L247" s="586"/>
      <c r="M247" s="571"/>
      <c r="N247" s="577" t="s">
        <v>611</v>
      </c>
      <c r="O247" s="577">
        <v>3</v>
      </c>
      <c r="P247" s="577" t="s">
        <v>611</v>
      </c>
      <c r="Q247" s="572"/>
      <c r="R247" s="573"/>
      <c r="S247" s="574"/>
      <c r="T247" s="574"/>
      <c r="U247" s="574"/>
      <c r="V247" s="574"/>
      <c r="W247" s="574"/>
      <c r="X247" s="572"/>
      <c r="Y247" s="572"/>
      <c r="Z247" s="572"/>
      <c r="AB247" s="573" t="s">
        <v>668</v>
      </c>
    </row>
    <row r="248" spans="1:28" s="599" customFormat="1" ht="20.25">
      <c r="A248" s="624"/>
      <c r="B248" s="592" t="s">
        <v>835</v>
      </c>
      <c r="C248" s="625"/>
      <c r="D248" s="626">
        <v>-1</v>
      </c>
      <c r="E248" s="627">
        <f>VLOOKUP(B248,'[10]auxiliar memoria'!$B$155:$E$302,2,FALSE)</f>
        <v>1</v>
      </c>
      <c r="F248" s="628"/>
      <c r="G248" s="629">
        <f>VLOOKUP(B248,'[10]auxiliar memoria'!$B$155:$E$302,3,FALSE)</f>
        <v>2.1</v>
      </c>
      <c r="H248" s="629">
        <f>IF(D248=0,"",IF(AND(D248&lt;0,E248*G248&gt;2),(ABS((2-(G248*E248)))*D248),IF(D248&gt;0,D248*E248*G248,0)))</f>
        <v>-0.10000000000000009</v>
      </c>
      <c r="I248" s="630"/>
      <c r="J248" s="631"/>
      <c r="K248" s="593">
        <f>H248</f>
        <v>-0.10000000000000009</v>
      </c>
      <c r="L248" s="593"/>
      <c r="M248" s="594"/>
      <c r="N248" s="595" t="s">
        <v>611</v>
      </c>
      <c r="O248" s="595">
        <f>O247</f>
        <v>3</v>
      </c>
      <c r="P248" s="595" t="s">
        <v>611</v>
      </c>
      <c r="Q248" s="596"/>
      <c r="R248" s="597"/>
      <c r="S248" s="598"/>
      <c r="T248" s="598"/>
      <c r="U248" s="598"/>
      <c r="V248" s="598"/>
      <c r="W248" s="598"/>
      <c r="X248" s="596"/>
      <c r="Y248" s="596"/>
      <c r="Z248" s="596"/>
      <c r="AB248" s="597" t="s">
        <v>668</v>
      </c>
    </row>
    <row r="249" spans="1:28" s="575" customFormat="1">
      <c r="A249" s="616"/>
      <c r="B249" s="576" t="s">
        <v>826</v>
      </c>
      <c r="C249" s="591"/>
      <c r="D249" s="617"/>
      <c r="E249" s="618">
        <v>25.4</v>
      </c>
      <c r="F249" s="619"/>
      <c r="G249" s="620">
        <v>4.75</v>
      </c>
      <c r="H249" s="621">
        <f t="shared" si="8"/>
        <v>120.64999999999999</v>
      </c>
      <c r="I249" s="622"/>
      <c r="J249" s="623"/>
      <c r="K249" s="586">
        <f t="shared" si="7"/>
        <v>120.64999999999999</v>
      </c>
      <c r="L249" s="586"/>
      <c r="M249" s="571"/>
      <c r="N249" s="577" t="s">
        <v>611</v>
      </c>
      <c r="O249" s="577">
        <v>3</v>
      </c>
      <c r="P249" s="577" t="s">
        <v>611</v>
      </c>
      <c r="Q249" s="572"/>
      <c r="R249" s="573"/>
      <c r="S249" s="574"/>
      <c r="T249" s="574"/>
      <c r="U249" s="574"/>
      <c r="V249" s="574"/>
      <c r="W249" s="574"/>
      <c r="X249" s="572"/>
      <c r="Y249" s="572"/>
      <c r="Z249" s="572"/>
      <c r="AB249" s="573" t="s">
        <v>668</v>
      </c>
    </row>
    <row r="250" spans="1:28" s="599" customFormat="1" ht="20.25">
      <c r="A250" s="624"/>
      <c r="B250" s="592" t="s">
        <v>835</v>
      </c>
      <c r="C250" s="625"/>
      <c r="D250" s="626">
        <v>-1</v>
      </c>
      <c r="E250" s="627">
        <f>VLOOKUP(B250,'[10]auxiliar memoria'!$B$155:$E$302,2,FALSE)</f>
        <v>1</v>
      </c>
      <c r="F250" s="628"/>
      <c r="G250" s="629">
        <f>VLOOKUP(B250,'[10]auxiliar memoria'!$B$155:$E$302,3,FALSE)</f>
        <v>2.1</v>
      </c>
      <c r="H250" s="629">
        <f>IF(D250=0,"",IF(AND(D250&lt;0,E250*G250&gt;2),(ABS((2-(G250*E250)))*D250),IF(D250&gt;0,D250*E250*G250,0)))</f>
        <v>-0.10000000000000009</v>
      </c>
      <c r="I250" s="630"/>
      <c r="J250" s="631"/>
      <c r="K250" s="593">
        <f>H250</f>
        <v>-0.10000000000000009</v>
      </c>
      <c r="L250" s="593"/>
      <c r="M250" s="594"/>
      <c r="N250" s="595" t="s">
        <v>611</v>
      </c>
      <c r="O250" s="595">
        <f>O249</f>
        <v>3</v>
      </c>
      <c r="P250" s="595" t="s">
        <v>611</v>
      </c>
      <c r="Q250" s="596"/>
      <c r="R250" s="597"/>
      <c r="S250" s="598"/>
      <c r="T250" s="598"/>
      <c r="U250" s="598"/>
      <c r="V250" s="598"/>
      <c r="W250" s="598"/>
      <c r="X250" s="596"/>
      <c r="Y250" s="596"/>
      <c r="Z250" s="596"/>
      <c r="AB250" s="597" t="s">
        <v>668</v>
      </c>
    </row>
    <row r="251" spans="1:28" s="575" customFormat="1">
      <c r="A251" s="616"/>
      <c r="B251" s="576" t="s">
        <v>827</v>
      </c>
      <c r="C251" s="591"/>
      <c r="D251" s="617"/>
      <c r="E251" s="618">
        <v>30.1</v>
      </c>
      <c r="F251" s="619"/>
      <c r="G251" s="620">
        <v>4.45</v>
      </c>
      <c r="H251" s="621">
        <f t="shared" si="8"/>
        <v>133.94500000000002</v>
      </c>
      <c r="I251" s="622"/>
      <c r="J251" s="623"/>
      <c r="K251" s="586">
        <f t="shared" si="7"/>
        <v>133.94500000000002</v>
      </c>
      <c r="L251" s="586"/>
      <c r="M251" s="571"/>
      <c r="N251" s="577" t="s">
        <v>611</v>
      </c>
      <c r="O251" s="577">
        <v>3</v>
      </c>
      <c r="P251" s="577" t="s">
        <v>611</v>
      </c>
      <c r="Q251" s="572"/>
      <c r="R251" s="573"/>
      <c r="S251" s="574"/>
      <c r="T251" s="574"/>
      <c r="U251" s="574"/>
      <c r="V251" s="574"/>
      <c r="W251" s="574"/>
      <c r="X251" s="572"/>
      <c r="Y251" s="572"/>
      <c r="Z251" s="572"/>
      <c r="AB251" s="573" t="s">
        <v>668</v>
      </c>
    </row>
    <row r="252" spans="1:28" s="575" customFormat="1">
      <c r="A252" s="616"/>
      <c r="B252" s="576" t="s">
        <v>832</v>
      </c>
      <c r="C252" s="591"/>
      <c r="D252" s="617"/>
      <c r="E252" s="618">
        <v>9.1</v>
      </c>
      <c r="F252" s="619"/>
      <c r="G252" s="620">
        <v>1.7</v>
      </c>
      <c r="H252" s="621">
        <f t="shared" si="8"/>
        <v>15.469999999999999</v>
      </c>
      <c r="I252" s="622"/>
      <c r="J252" s="623"/>
      <c r="K252" s="586">
        <f t="shared" si="7"/>
        <v>15.469999999999999</v>
      </c>
      <c r="L252" s="586"/>
      <c r="M252" s="571"/>
      <c r="N252" s="577" t="s">
        <v>611</v>
      </c>
      <c r="O252" s="577">
        <v>3</v>
      </c>
      <c r="P252" s="577" t="s">
        <v>611</v>
      </c>
      <c r="Q252" s="572"/>
      <c r="R252" s="573"/>
      <c r="S252" s="574"/>
      <c r="T252" s="574"/>
      <c r="U252" s="574"/>
      <c r="V252" s="574"/>
      <c r="W252" s="574"/>
      <c r="X252" s="572"/>
      <c r="Y252" s="572"/>
      <c r="Z252" s="572"/>
      <c r="AB252" s="573" t="s">
        <v>668</v>
      </c>
    </row>
    <row r="253" spans="1:28" s="575" customFormat="1">
      <c r="A253" s="616"/>
      <c r="B253" s="591" t="s">
        <v>828</v>
      </c>
      <c r="C253" s="591"/>
      <c r="D253" s="617"/>
      <c r="E253" s="618"/>
      <c r="F253" s="619"/>
      <c r="G253" s="620"/>
      <c r="H253" s="621"/>
      <c r="I253" s="622"/>
      <c r="J253" s="623"/>
      <c r="K253" s="586"/>
      <c r="L253" s="586"/>
      <c r="M253" s="571"/>
      <c r="N253" s="577" t="s">
        <v>611</v>
      </c>
      <c r="O253" s="577" t="s">
        <v>611</v>
      </c>
      <c r="P253" s="577" t="s">
        <v>611</v>
      </c>
      <c r="Q253" s="572"/>
      <c r="R253" s="573"/>
      <c r="S253" s="574"/>
      <c r="T253" s="574"/>
      <c r="U253" s="574"/>
      <c r="V253" s="574"/>
      <c r="W253" s="574"/>
      <c r="X253" s="572"/>
      <c r="Y253" s="572"/>
      <c r="Z253" s="572"/>
      <c r="AB253" s="573" t="s">
        <v>668</v>
      </c>
    </row>
    <row r="254" spans="1:28" s="575" customFormat="1">
      <c r="A254" s="616"/>
      <c r="B254" s="576" t="s">
        <v>673</v>
      </c>
      <c r="C254" s="591"/>
      <c r="D254" s="617"/>
      <c r="E254" s="618">
        <v>42.35</v>
      </c>
      <c r="F254" s="619"/>
      <c r="G254" s="620">
        <v>2.2000000000000002</v>
      </c>
      <c r="H254" s="621">
        <f>G254*E254</f>
        <v>93.170000000000016</v>
      </c>
      <c r="I254" s="622"/>
      <c r="J254" s="623"/>
      <c r="K254" s="586">
        <f t="shared" si="7"/>
        <v>93.170000000000016</v>
      </c>
      <c r="L254" s="586"/>
      <c r="M254" s="571"/>
      <c r="N254" s="577" t="s">
        <v>611</v>
      </c>
      <c r="O254" s="577">
        <v>3</v>
      </c>
      <c r="P254" s="577" t="s">
        <v>611</v>
      </c>
      <c r="Q254" s="572"/>
      <c r="R254" s="573"/>
      <c r="S254" s="574"/>
      <c r="T254" s="574"/>
      <c r="U254" s="574"/>
      <c r="V254" s="574"/>
      <c r="W254" s="574"/>
      <c r="X254" s="572"/>
      <c r="Y254" s="572"/>
      <c r="Z254" s="572"/>
      <c r="AB254" s="573" t="s">
        <v>668</v>
      </c>
    </row>
    <row r="255" spans="1:28" s="575" customFormat="1">
      <c r="A255" s="616"/>
      <c r="B255" s="576" t="s">
        <v>900</v>
      </c>
      <c r="C255" s="591"/>
      <c r="D255" s="617"/>
      <c r="E255" s="618">
        <v>40.69</v>
      </c>
      <c r="F255" s="619"/>
      <c r="G255" s="620">
        <v>2.2000000000000002</v>
      </c>
      <c r="H255" s="621">
        <f>G255*E255</f>
        <v>89.518000000000001</v>
      </c>
      <c r="I255" s="622"/>
      <c r="J255" s="623"/>
      <c r="K255" s="586">
        <f>H255</f>
        <v>89.518000000000001</v>
      </c>
      <c r="L255" s="586"/>
      <c r="M255" s="571"/>
      <c r="N255" s="577" t="s">
        <v>611</v>
      </c>
      <c r="O255" s="577">
        <v>3</v>
      </c>
      <c r="P255" s="577" t="s">
        <v>611</v>
      </c>
      <c r="Q255" s="572"/>
      <c r="R255" s="573"/>
      <c r="S255" s="574"/>
      <c r="T255" s="574"/>
      <c r="U255" s="574"/>
      <c r="V255" s="574"/>
      <c r="W255" s="574"/>
      <c r="X255" s="572"/>
      <c r="Y255" s="572"/>
      <c r="Z255" s="572"/>
      <c r="AB255" s="573" t="s">
        <v>668</v>
      </c>
    </row>
    <row r="256" spans="1:28" s="575" customFormat="1">
      <c r="A256" s="616"/>
      <c r="B256" s="576" t="s">
        <v>829</v>
      </c>
      <c r="C256" s="591"/>
      <c r="D256" s="617"/>
      <c r="E256" s="618">
        <v>92.83</v>
      </c>
      <c r="F256" s="619"/>
      <c r="G256" s="620">
        <v>2.2000000000000002</v>
      </c>
      <c r="H256" s="621">
        <f t="shared" si="8"/>
        <v>204.226</v>
      </c>
      <c r="I256" s="622"/>
      <c r="J256" s="623"/>
      <c r="K256" s="586">
        <f t="shared" si="7"/>
        <v>204.226</v>
      </c>
      <c r="L256" s="586"/>
      <c r="M256" s="571"/>
      <c r="N256" s="577" t="s">
        <v>611</v>
      </c>
      <c r="O256" s="577">
        <v>3</v>
      </c>
      <c r="P256" s="577" t="s">
        <v>611</v>
      </c>
      <c r="Q256" s="572"/>
      <c r="R256" s="573"/>
      <c r="S256" s="574"/>
      <c r="T256" s="574"/>
      <c r="U256" s="574"/>
      <c r="V256" s="574"/>
      <c r="W256" s="574"/>
      <c r="X256" s="572"/>
      <c r="Y256" s="572"/>
      <c r="Z256" s="572"/>
      <c r="AB256" s="573" t="s">
        <v>668</v>
      </c>
    </row>
    <row r="257" spans="1:28" s="575" customFormat="1">
      <c r="A257" s="616"/>
      <c r="B257" s="576" t="s">
        <v>830</v>
      </c>
      <c r="C257" s="591"/>
      <c r="D257" s="617"/>
      <c r="E257" s="618">
        <v>59.7</v>
      </c>
      <c r="F257" s="619"/>
      <c r="G257" s="620">
        <v>2.2000000000000002</v>
      </c>
      <c r="H257" s="621">
        <f t="shared" si="8"/>
        <v>131.34</v>
      </c>
      <c r="I257" s="622"/>
      <c r="J257" s="623"/>
      <c r="K257" s="586">
        <f t="shared" si="7"/>
        <v>131.34</v>
      </c>
      <c r="L257" s="586"/>
      <c r="M257" s="571"/>
      <c r="N257" s="577" t="s">
        <v>611</v>
      </c>
      <c r="O257" s="577">
        <v>3</v>
      </c>
      <c r="P257" s="577" t="s">
        <v>611</v>
      </c>
      <c r="Q257" s="572"/>
      <c r="R257" s="573"/>
      <c r="S257" s="574"/>
      <c r="T257" s="574"/>
      <c r="U257" s="574"/>
      <c r="V257" s="574"/>
      <c r="W257" s="574"/>
      <c r="X257" s="572"/>
      <c r="Y257" s="572"/>
      <c r="Z257" s="572"/>
      <c r="AB257" s="573" t="s">
        <v>668</v>
      </c>
    </row>
    <row r="258" spans="1:28" s="575" customFormat="1">
      <c r="A258" s="616"/>
      <c r="B258" s="576" t="s">
        <v>831</v>
      </c>
      <c r="C258" s="591"/>
      <c r="D258" s="617"/>
      <c r="E258" s="618">
        <v>88.13</v>
      </c>
      <c r="F258" s="619"/>
      <c r="G258" s="620">
        <v>1.8</v>
      </c>
      <c r="H258" s="621">
        <f t="shared" si="8"/>
        <v>158.63399999999999</v>
      </c>
      <c r="I258" s="622"/>
      <c r="J258" s="623"/>
      <c r="K258" s="586">
        <f t="shared" si="7"/>
        <v>158.63399999999999</v>
      </c>
      <c r="L258" s="586"/>
      <c r="M258" s="571"/>
      <c r="N258" s="577" t="s">
        <v>611</v>
      </c>
      <c r="O258" s="577">
        <v>3</v>
      </c>
      <c r="P258" s="577" t="s">
        <v>611</v>
      </c>
      <c r="Q258" s="572"/>
      <c r="R258" s="573"/>
      <c r="S258" s="574"/>
      <c r="T258" s="574"/>
      <c r="U258" s="574"/>
      <c r="V258" s="574"/>
      <c r="W258" s="574"/>
      <c r="X258" s="572"/>
      <c r="Y258" s="572"/>
      <c r="Z258" s="572"/>
      <c r="AB258" s="573" t="s">
        <v>668</v>
      </c>
    </row>
    <row r="259" spans="1:28" s="575" customFormat="1">
      <c r="A259" s="616"/>
      <c r="B259" s="576" t="s">
        <v>901</v>
      </c>
      <c r="C259" s="591"/>
      <c r="D259" s="617"/>
      <c r="E259" s="618">
        <v>88.43</v>
      </c>
      <c r="F259" s="619"/>
      <c r="G259" s="620">
        <v>2.2000000000000002</v>
      </c>
      <c r="H259" s="621">
        <f t="shared" si="8"/>
        <v>194.54600000000002</v>
      </c>
      <c r="I259" s="622"/>
      <c r="J259" s="623"/>
      <c r="K259" s="586">
        <f t="shared" si="7"/>
        <v>194.54600000000002</v>
      </c>
      <c r="L259" s="586"/>
      <c r="M259" s="571"/>
      <c r="N259" s="577" t="s">
        <v>611</v>
      </c>
      <c r="O259" s="577">
        <v>3</v>
      </c>
      <c r="P259" s="577" t="s">
        <v>611</v>
      </c>
      <c r="Q259" s="572"/>
      <c r="R259" s="573"/>
      <c r="S259" s="574"/>
      <c r="T259" s="574"/>
      <c r="U259" s="574"/>
      <c r="V259" s="574"/>
      <c r="W259" s="574"/>
      <c r="X259" s="572"/>
      <c r="Y259" s="572"/>
      <c r="Z259" s="572"/>
      <c r="AB259" s="573" t="s">
        <v>668</v>
      </c>
    </row>
    <row r="260" spans="1:28" s="575" customFormat="1">
      <c r="A260" s="616"/>
      <c r="B260" s="576" t="s">
        <v>902</v>
      </c>
      <c r="C260" s="591"/>
      <c r="D260" s="617"/>
      <c r="E260" s="618">
        <v>60</v>
      </c>
      <c r="F260" s="619"/>
      <c r="G260" s="620">
        <v>2.2000000000000002</v>
      </c>
      <c r="H260" s="621">
        <f t="shared" si="8"/>
        <v>132</v>
      </c>
      <c r="I260" s="622"/>
      <c r="J260" s="623"/>
      <c r="K260" s="586">
        <f t="shared" si="7"/>
        <v>132</v>
      </c>
      <c r="L260" s="586"/>
      <c r="M260" s="571"/>
      <c r="N260" s="577" t="s">
        <v>611</v>
      </c>
      <c r="O260" s="577">
        <v>3</v>
      </c>
      <c r="P260" s="577" t="s">
        <v>611</v>
      </c>
      <c r="Q260" s="572"/>
      <c r="R260" s="573"/>
      <c r="S260" s="574"/>
      <c r="T260" s="574"/>
      <c r="U260" s="574"/>
      <c r="V260" s="574"/>
      <c r="W260" s="574"/>
      <c r="X260" s="572"/>
      <c r="Y260" s="572"/>
      <c r="Z260" s="572"/>
      <c r="AB260" s="573" t="s">
        <v>668</v>
      </c>
    </row>
    <row r="261" spans="1:28" s="575" customFormat="1">
      <c r="A261" s="616"/>
      <c r="B261" s="576" t="s">
        <v>903</v>
      </c>
      <c r="C261" s="591"/>
      <c r="D261" s="617"/>
      <c r="E261" s="618">
        <v>99.93</v>
      </c>
      <c r="F261" s="619"/>
      <c r="G261" s="620">
        <v>1.8</v>
      </c>
      <c r="H261" s="621">
        <f t="shared" si="8"/>
        <v>179.87400000000002</v>
      </c>
      <c r="I261" s="622"/>
      <c r="J261" s="623"/>
      <c r="K261" s="586">
        <f t="shared" si="7"/>
        <v>179.87400000000002</v>
      </c>
      <c r="L261" s="586"/>
      <c r="M261" s="571"/>
      <c r="N261" s="577" t="s">
        <v>611</v>
      </c>
      <c r="O261" s="577">
        <v>3</v>
      </c>
      <c r="P261" s="577" t="s">
        <v>611</v>
      </c>
      <c r="Q261" s="572"/>
      <c r="R261" s="573"/>
      <c r="S261" s="574"/>
      <c r="T261" s="574"/>
      <c r="U261" s="574"/>
      <c r="V261" s="574"/>
      <c r="W261" s="574"/>
      <c r="X261" s="572"/>
      <c r="Y261" s="572"/>
      <c r="Z261" s="572"/>
      <c r="AB261" s="573" t="s">
        <v>668</v>
      </c>
    </row>
    <row r="262" spans="1:28" s="478" customFormat="1">
      <c r="A262" s="463"/>
      <c r="B262" s="464" t="s">
        <v>605</v>
      </c>
      <c r="C262" s="465" t="s">
        <v>195</v>
      </c>
      <c r="D262" s="466"/>
      <c r="E262" s="467"/>
      <c r="F262" s="468"/>
      <c r="G262" s="469"/>
      <c r="H262" s="470"/>
      <c r="I262" s="471"/>
      <c r="J262" s="472"/>
      <c r="K262" s="473"/>
      <c r="L262" s="473"/>
      <c r="M262" s="474"/>
      <c r="N262" s="462"/>
      <c r="O262" s="462"/>
      <c r="P262" s="481"/>
      <c r="Q262" s="475"/>
      <c r="R262" s="476"/>
      <c r="S262" s="477"/>
      <c r="T262" s="477"/>
      <c r="U262" s="477"/>
      <c r="V262" s="477"/>
      <c r="W262" s="477"/>
      <c r="X262" s="475"/>
      <c r="Y262" s="475"/>
      <c r="Z262" s="475"/>
      <c r="AB262" s="476"/>
    </row>
    <row r="263" spans="1:28" s="648" customFormat="1">
      <c r="A263" s="632"/>
      <c r="B263" s="633" t="s">
        <v>677</v>
      </c>
      <c r="C263" s="633"/>
      <c r="D263" s="634"/>
      <c r="E263" s="635"/>
      <c r="F263" s="636"/>
      <c r="G263" s="637"/>
      <c r="H263" s="638"/>
      <c r="I263" s="639"/>
      <c r="J263" s="640"/>
      <c r="K263" s="641"/>
      <c r="L263" s="610" t="s">
        <v>197</v>
      </c>
      <c r="M263" s="642"/>
      <c r="N263" s="643"/>
      <c r="O263" s="643"/>
      <c r="P263" s="644"/>
      <c r="Q263" s="645"/>
      <c r="R263" s="646"/>
      <c r="S263" s="647"/>
      <c r="T263" s="647"/>
      <c r="U263" s="647"/>
      <c r="V263" s="647"/>
      <c r="W263" s="647"/>
      <c r="X263" s="645"/>
      <c r="Y263" s="645"/>
      <c r="Z263" s="645"/>
      <c r="AB263" s="646" t="s">
        <v>668</v>
      </c>
    </row>
    <row r="264" spans="1:28" s="575" customFormat="1">
      <c r="A264" s="616"/>
      <c r="B264" s="570" t="s">
        <v>669</v>
      </c>
      <c r="C264" s="591"/>
      <c r="D264" s="617"/>
      <c r="E264" s="618"/>
      <c r="F264" s="619"/>
      <c r="G264" s="620"/>
      <c r="H264" s="621"/>
      <c r="I264" s="622"/>
      <c r="J264" s="623"/>
      <c r="K264" s="586"/>
      <c r="L264" s="586"/>
      <c r="M264" s="571"/>
      <c r="N264" s="577" t="s">
        <v>611</v>
      </c>
      <c r="O264" s="577" t="s">
        <v>611</v>
      </c>
      <c r="P264" s="589"/>
      <c r="Q264" s="572"/>
      <c r="R264" s="573"/>
      <c r="S264" s="574"/>
      <c r="T264" s="574"/>
      <c r="U264" s="574"/>
      <c r="V264" s="574"/>
      <c r="W264" s="574"/>
      <c r="X264" s="572"/>
      <c r="Y264" s="572"/>
      <c r="Z264" s="572"/>
      <c r="AB264" s="573" t="s">
        <v>668</v>
      </c>
    </row>
    <row r="265" spans="1:28" s="575" customFormat="1">
      <c r="A265" s="616"/>
      <c r="B265" s="576" t="s">
        <v>974</v>
      </c>
      <c r="C265" s="591"/>
      <c r="D265" s="617"/>
      <c r="E265" s="618"/>
      <c r="F265" s="619"/>
      <c r="G265" s="620"/>
      <c r="H265" s="621"/>
      <c r="I265" s="622"/>
      <c r="J265" s="623"/>
      <c r="K265" s="586"/>
      <c r="L265" s="586" t="str">
        <f>L266</f>
        <v>PV02</v>
      </c>
      <c r="M265" s="571"/>
      <c r="N265" s="577" t="s">
        <v>611</v>
      </c>
      <c r="O265" s="577" t="s">
        <v>611</v>
      </c>
      <c r="P265" s="577" t="s">
        <v>611</v>
      </c>
      <c r="Q265" s="572"/>
      <c r="R265" s="573"/>
      <c r="S265" s="574"/>
      <c r="T265" s="574"/>
      <c r="U265" s="574"/>
      <c r="V265" s="574"/>
      <c r="W265" s="574"/>
      <c r="X265" s="572"/>
      <c r="Y265" s="572"/>
      <c r="Z265" s="572"/>
      <c r="AB265" s="573" t="s">
        <v>668</v>
      </c>
    </row>
    <row r="266" spans="1:28" s="607" customFormat="1">
      <c r="A266" s="649"/>
      <c r="B266" s="602" t="s">
        <v>890</v>
      </c>
      <c r="C266" s="613"/>
      <c r="D266" s="650">
        <v>1</v>
      </c>
      <c r="E266" s="651">
        <f>VLOOKUP(B266,'[10]auxiliar memoria'!$B$155:$E$302,2,FALSE)</f>
        <v>1.8</v>
      </c>
      <c r="F266" s="652"/>
      <c r="G266" s="653">
        <f>VLOOKUP(B266,'[10]auxiliar memoria'!$B$155:$E$302,3,FALSE)</f>
        <v>2.1</v>
      </c>
      <c r="H266" s="654">
        <f>IF(D266=0,"",IF(AND(D266&lt;0,E266*G266&gt;2),(ABS((2-(G266*E266)))*D266),IF(D266&gt;0,D266*E266*G266,0)))</f>
        <v>3.7800000000000002</v>
      </c>
      <c r="I266" s="655"/>
      <c r="J266" s="656"/>
      <c r="K266" s="609">
        <f>H266</f>
        <v>3.7800000000000002</v>
      </c>
      <c r="L266" s="609" t="str">
        <f>B266</f>
        <v>PV02</v>
      </c>
      <c r="M266" s="603"/>
      <c r="N266" s="577" t="s">
        <v>611</v>
      </c>
      <c r="O266" s="577" t="s">
        <v>611</v>
      </c>
      <c r="P266" s="608" t="s">
        <v>611</v>
      </c>
      <c r="Q266" s="604"/>
      <c r="R266" s="605"/>
      <c r="S266" s="606"/>
      <c r="T266" s="606"/>
      <c r="U266" s="606"/>
      <c r="V266" s="606"/>
      <c r="W266" s="606"/>
      <c r="X266" s="604"/>
      <c r="Y266" s="604"/>
      <c r="Z266" s="604"/>
      <c r="AB266" s="605" t="s">
        <v>668</v>
      </c>
    </row>
    <row r="267" spans="1:28" s="575" customFormat="1">
      <c r="A267" s="616"/>
      <c r="B267" s="576" t="s">
        <v>774</v>
      </c>
      <c r="C267" s="591"/>
      <c r="D267" s="617"/>
      <c r="E267" s="618"/>
      <c r="F267" s="619"/>
      <c r="G267" s="620"/>
      <c r="H267" s="621"/>
      <c r="I267" s="622"/>
      <c r="J267" s="623"/>
      <c r="K267" s="586"/>
      <c r="L267" s="612" t="str">
        <f>L268</f>
        <v>PM02</v>
      </c>
      <c r="M267" s="571"/>
      <c r="N267" s="577" t="s">
        <v>611</v>
      </c>
      <c r="O267" s="577" t="s">
        <v>611</v>
      </c>
      <c r="P267" s="577" t="s">
        <v>611</v>
      </c>
      <c r="Q267" s="572"/>
      <c r="R267" s="573"/>
      <c r="S267" s="574"/>
      <c r="T267" s="574"/>
      <c r="U267" s="574"/>
      <c r="V267" s="574"/>
      <c r="W267" s="574"/>
      <c r="X267" s="572"/>
      <c r="Y267" s="572"/>
      <c r="Z267" s="572"/>
      <c r="AB267" s="573" t="s">
        <v>668</v>
      </c>
    </row>
    <row r="268" spans="1:28" s="607" customFormat="1">
      <c r="A268" s="649"/>
      <c r="B268" s="602" t="s">
        <v>835</v>
      </c>
      <c r="C268" s="613"/>
      <c r="D268" s="650">
        <v>1</v>
      </c>
      <c r="E268" s="651">
        <f>VLOOKUP(B268,'[10]auxiliar memoria'!$B$155:$E$302,2,FALSE)</f>
        <v>1</v>
      </c>
      <c r="F268" s="652"/>
      <c r="G268" s="653">
        <f>VLOOKUP(B268,'[10]auxiliar memoria'!$B$155:$E$302,3,FALSE)</f>
        <v>2.1</v>
      </c>
      <c r="H268" s="654">
        <f>IF(D268=0,"",IF(AND(D268&lt;0,E268*G268&gt;2),(ABS((2-(G268*E268)))*D268),IF(D268&gt;0,D268*E268*G268,0)))</f>
        <v>2.1</v>
      </c>
      <c r="I268" s="655"/>
      <c r="J268" s="656"/>
      <c r="K268" s="609">
        <f>H268</f>
        <v>2.1</v>
      </c>
      <c r="L268" s="611" t="str">
        <f>B268</f>
        <v>PM02</v>
      </c>
      <c r="M268" s="603"/>
      <c r="N268" s="577" t="s">
        <v>611</v>
      </c>
      <c r="O268" s="577" t="s">
        <v>611</v>
      </c>
      <c r="P268" s="608" t="s">
        <v>611</v>
      </c>
      <c r="Q268" s="604"/>
      <c r="R268" s="605"/>
      <c r="S268" s="606"/>
      <c r="T268" s="606"/>
      <c r="U268" s="606"/>
      <c r="V268" s="606"/>
      <c r="W268" s="606"/>
      <c r="X268" s="604"/>
      <c r="Y268" s="604"/>
      <c r="Z268" s="604"/>
      <c r="AB268" s="605" t="s">
        <v>668</v>
      </c>
    </row>
    <row r="269" spans="1:28" s="575" customFormat="1">
      <c r="A269" s="616"/>
      <c r="B269" s="576" t="s">
        <v>946</v>
      </c>
      <c r="C269" s="591"/>
      <c r="D269" s="617"/>
      <c r="E269" s="618"/>
      <c r="F269" s="619"/>
      <c r="G269" s="620"/>
      <c r="H269" s="621"/>
      <c r="I269" s="622"/>
      <c r="J269" s="623"/>
      <c r="K269" s="586"/>
      <c r="L269" s="586" t="str">
        <f>L270</f>
        <v>PM01</v>
      </c>
      <c r="M269" s="571"/>
      <c r="N269" s="577" t="s">
        <v>611</v>
      </c>
      <c r="O269" s="577" t="s">
        <v>611</v>
      </c>
      <c r="P269" s="577" t="s">
        <v>611</v>
      </c>
      <c r="Q269" s="572"/>
      <c r="R269" s="573"/>
      <c r="S269" s="574"/>
      <c r="T269" s="574"/>
      <c r="U269" s="574"/>
      <c r="V269" s="574"/>
      <c r="W269" s="574"/>
      <c r="X269" s="572"/>
      <c r="Y269" s="572"/>
      <c r="Z269" s="572"/>
      <c r="AB269" s="573" t="s">
        <v>668</v>
      </c>
    </row>
    <row r="270" spans="1:28" s="607" customFormat="1">
      <c r="A270" s="649"/>
      <c r="B270" s="602" t="s">
        <v>704</v>
      </c>
      <c r="C270" s="613"/>
      <c r="D270" s="650">
        <v>1</v>
      </c>
      <c r="E270" s="651">
        <f>VLOOKUP(B270,'[10]auxiliar memoria'!$B$155:$E$302,2,FALSE)</f>
        <v>0.8</v>
      </c>
      <c r="F270" s="652"/>
      <c r="G270" s="653">
        <f>VLOOKUP(B270,'[10]auxiliar memoria'!$B$155:$E$302,3,FALSE)</f>
        <v>2.1</v>
      </c>
      <c r="H270" s="654">
        <f>IF(D270=0,"",IF(AND(D270&lt;0,E270*G270&gt;2),(ABS((2-(G270*E270)))*D270),IF(D270&gt;0,D270*E270*G270,0)))</f>
        <v>1.6800000000000002</v>
      </c>
      <c r="I270" s="655"/>
      <c r="J270" s="656"/>
      <c r="K270" s="609">
        <f>H270</f>
        <v>1.6800000000000002</v>
      </c>
      <c r="L270" s="609" t="str">
        <f>B270</f>
        <v>PM01</v>
      </c>
      <c r="M270" s="603"/>
      <c r="N270" s="577" t="s">
        <v>611</v>
      </c>
      <c r="O270" s="577" t="s">
        <v>611</v>
      </c>
      <c r="P270" s="608" t="s">
        <v>611</v>
      </c>
      <c r="Q270" s="604"/>
      <c r="R270" s="605"/>
      <c r="S270" s="606"/>
      <c r="T270" s="606"/>
      <c r="U270" s="606"/>
      <c r="V270" s="606"/>
      <c r="W270" s="606"/>
      <c r="X270" s="604"/>
      <c r="Y270" s="604"/>
      <c r="Z270" s="604"/>
      <c r="AB270" s="605" t="s">
        <v>668</v>
      </c>
    </row>
    <row r="271" spans="1:28" s="575" customFormat="1">
      <c r="A271" s="616"/>
      <c r="B271" s="576" t="s">
        <v>947</v>
      </c>
      <c r="C271" s="591"/>
      <c r="D271" s="617"/>
      <c r="E271" s="618"/>
      <c r="F271" s="619"/>
      <c r="G271" s="620"/>
      <c r="H271" s="621"/>
      <c r="I271" s="622"/>
      <c r="J271" s="623"/>
      <c r="K271" s="586"/>
      <c r="L271" s="586" t="str">
        <f>L272</f>
        <v>PM01</v>
      </c>
      <c r="M271" s="571"/>
      <c r="N271" s="577" t="s">
        <v>611</v>
      </c>
      <c r="O271" s="577" t="s">
        <v>611</v>
      </c>
      <c r="P271" s="577" t="s">
        <v>611</v>
      </c>
      <c r="Q271" s="572"/>
      <c r="R271" s="573"/>
      <c r="S271" s="574"/>
      <c r="T271" s="574"/>
      <c r="U271" s="574"/>
      <c r="V271" s="574"/>
      <c r="W271" s="574"/>
      <c r="X271" s="572"/>
      <c r="Y271" s="572"/>
      <c r="Z271" s="572"/>
      <c r="AB271" s="573" t="s">
        <v>668</v>
      </c>
    </row>
    <row r="272" spans="1:28" s="607" customFormat="1">
      <c r="A272" s="649"/>
      <c r="B272" s="602" t="s">
        <v>704</v>
      </c>
      <c r="C272" s="613"/>
      <c r="D272" s="650">
        <v>1</v>
      </c>
      <c r="E272" s="651">
        <f>VLOOKUP(B272,'[10]auxiliar memoria'!$B$155:$E$302,2,FALSE)</f>
        <v>0.8</v>
      </c>
      <c r="F272" s="652"/>
      <c r="G272" s="653">
        <f>VLOOKUP(B272,'[10]auxiliar memoria'!$B$155:$E$302,3,FALSE)</f>
        <v>2.1</v>
      </c>
      <c r="H272" s="654">
        <f>IF(D272=0,"",IF(AND(D272&lt;0,E272*G272&gt;2),(ABS((2-(G272*E272)))*D272),IF(D272&gt;0,D272*E272*G272,0)))</f>
        <v>1.6800000000000002</v>
      </c>
      <c r="I272" s="655"/>
      <c r="J272" s="656"/>
      <c r="K272" s="609">
        <f>H272</f>
        <v>1.6800000000000002</v>
      </c>
      <c r="L272" s="609" t="str">
        <f>B272</f>
        <v>PM01</v>
      </c>
      <c r="M272" s="603"/>
      <c r="N272" s="577" t="s">
        <v>611</v>
      </c>
      <c r="O272" s="577" t="s">
        <v>611</v>
      </c>
      <c r="P272" s="608" t="s">
        <v>611</v>
      </c>
      <c r="Q272" s="604"/>
      <c r="R272" s="605"/>
      <c r="S272" s="606"/>
      <c r="T272" s="606"/>
      <c r="U272" s="606"/>
      <c r="V272" s="606"/>
      <c r="W272" s="606"/>
      <c r="X272" s="604"/>
      <c r="Y272" s="604"/>
      <c r="Z272" s="604"/>
      <c r="AB272" s="605" t="s">
        <v>668</v>
      </c>
    </row>
    <row r="273" spans="1:28" s="575" customFormat="1">
      <c r="A273" s="616"/>
      <c r="B273" s="576" t="s">
        <v>911</v>
      </c>
      <c r="C273" s="591"/>
      <c r="D273" s="617"/>
      <c r="E273" s="618"/>
      <c r="F273" s="619"/>
      <c r="G273" s="620"/>
      <c r="H273" s="621"/>
      <c r="I273" s="622"/>
      <c r="J273" s="623"/>
      <c r="K273" s="586"/>
      <c r="L273" s="586"/>
      <c r="M273" s="571"/>
      <c r="N273" s="577" t="s">
        <v>611</v>
      </c>
      <c r="O273" s="577" t="s">
        <v>611</v>
      </c>
      <c r="P273" s="577" t="s">
        <v>611</v>
      </c>
      <c r="Q273" s="572"/>
      <c r="R273" s="573"/>
      <c r="S273" s="574"/>
      <c r="T273" s="574"/>
      <c r="U273" s="574"/>
      <c r="V273" s="574"/>
      <c r="W273" s="574"/>
      <c r="X273" s="572"/>
      <c r="Y273" s="572"/>
      <c r="Z273" s="572"/>
      <c r="AB273" s="573" t="s">
        <v>668</v>
      </c>
    </row>
    <row r="274" spans="1:28" s="599" customFormat="1">
      <c r="A274" s="624"/>
      <c r="B274" s="602" t="s">
        <v>704</v>
      </c>
      <c r="C274" s="613"/>
      <c r="D274" s="650">
        <v>1</v>
      </c>
      <c r="E274" s="651">
        <f>VLOOKUP(B274,'[10]auxiliar memoria'!$B$155:$E$302,2,FALSE)</f>
        <v>0.8</v>
      </c>
      <c r="F274" s="652"/>
      <c r="G274" s="653">
        <f>VLOOKUP(B274,'[10]auxiliar memoria'!$B$155:$E$302,3,FALSE)</f>
        <v>2.1</v>
      </c>
      <c r="H274" s="654">
        <f>IF(D274=0,"",IF(AND(D274&lt;0,E274*G274&gt;2),(ABS((2-(G274*E274)))*D274),IF(D274&gt;0,D274*E274*G274,0)))</f>
        <v>1.6800000000000002</v>
      </c>
      <c r="I274" s="655"/>
      <c r="J274" s="656"/>
      <c r="K274" s="609">
        <f>H274</f>
        <v>1.6800000000000002</v>
      </c>
      <c r="L274" s="611" t="str">
        <f>B274</f>
        <v>PM01</v>
      </c>
      <c r="M274" s="594"/>
      <c r="N274" s="595" t="s">
        <v>611</v>
      </c>
      <c r="O274" s="577" t="s">
        <v>611</v>
      </c>
      <c r="P274" s="595" t="s">
        <v>611</v>
      </c>
      <c r="Q274" s="596"/>
      <c r="R274" s="597"/>
      <c r="S274" s="598"/>
      <c r="T274" s="598"/>
      <c r="U274" s="598"/>
      <c r="V274" s="598"/>
      <c r="W274" s="598"/>
      <c r="X274" s="596"/>
      <c r="Y274" s="596"/>
      <c r="Z274" s="596"/>
      <c r="AB274" s="597" t="s">
        <v>668</v>
      </c>
    </row>
    <row r="275" spans="1:28" s="575" customFormat="1">
      <c r="A275" s="616"/>
      <c r="B275" s="576" t="s">
        <v>912</v>
      </c>
      <c r="C275" s="591"/>
      <c r="D275" s="617"/>
      <c r="E275" s="618"/>
      <c r="F275" s="619"/>
      <c r="G275" s="620"/>
      <c r="H275" s="621"/>
      <c r="I275" s="622"/>
      <c r="J275" s="623"/>
      <c r="K275" s="586"/>
      <c r="L275" s="586" t="str">
        <f>L276</f>
        <v>PM01</v>
      </c>
      <c r="M275" s="571"/>
      <c r="N275" s="577" t="s">
        <v>611</v>
      </c>
      <c r="O275" s="577" t="s">
        <v>611</v>
      </c>
      <c r="P275" s="577" t="s">
        <v>611</v>
      </c>
      <c r="Q275" s="572"/>
      <c r="R275" s="573"/>
      <c r="S275" s="574"/>
      <c r="T275" s="574"/>
      <c r="U275" s="574"/>
      <c r="V275" s="574"/>
      <c r="W275" s="574"/>
      <c r="X275" s="572"/>
      <c r="Y275" s="572"/>
      <c r="Z275" s="572"/>
      <c r="AB275" s="573" t="s">
        <v>668</v>
      </c>
    </row>
    <row r="276" spans="1:28" s="607" customFormat="1">
      <c r="A276" s="649"/>
      <c r="B276" s="602" t="s">
        <v>704</v>
      </c>
      <c r="C276" s="613"/>
      <c r="D276" s="650">
        <v>1</v>
      </c>
      <c r="E276" s="651">
        <f>VLOOKUP(B276,'[10]auxiliar memoria'!$B$155:$E$302,2,FALSE)</f>
        <v>0.8</v>
      </c>
      <c r="F276" s="652"/>
      <c r="G276" s="653">
        <f>VLOOKUP(B276,'[10]auxiliar memoria'!$B$155:$E$302,3,FALSE)</f>
        <v>2.1</v>
      </c>
      <c r="H276" s="654">
        <f>IF(D276=0,"",IF(AND(D276&lt;0,E276*G276&gt;2),(ABS((2-(G276*E276)))*D276),IF(D276&gt;0,D276*E276*G276,0)))</f>
        <v>1.6800000000000002</v>
      </c>
      <c r="I276" s="655"/>
      <c r="J276" s="656"/>
      <c r="K276" s="609">
        <f>H276</f>
        <v>1.6800000000000002</v>
      </c>
      <c r="L276" s="609" t="str">
        <f>B276</f>
        <v>PM01</v>
      </c>
      <c r="M276" s="603"/>
      <c r="N276" s="577" t="s">
        <v>611</v>
      </c>
      <c r="O276" s="577" t="s">
        <v>611</v>
      </c>
      <c r="P276" s="608" t="s">
        <v>611</v>
      </c>
      <c r="Q276" s="604"/>
      <c r="R276" s="605"/>
      <c r="S276" s="606"/>
      <c r="T276" s="606"/>
      <c r="U276" s="606"/>
      <c r="V276" s="606"/>
      <c r="W276" s="606"/>
      <c r="X276" s="604"/>
      <c r="Y276" s="604"/>
      <c r="Z276" s="604"/>
      <c r="AB276" s="605" t="s">
        <v>668</v>
      </c>
    </row>
    <row r="277" spans="1:28" s="575" customFormat="1">
      <c r="A277" s="616"/>
      <c r="B277" s="576" t="s">
        <v>943</v>
      </c>
      <c r="C277" s="591"/>
      <c r="D277" s="617"/>
      <c r="E277" s="618"/>
      <c r="F277" s="619"/>
      <c r="G277" s="620"/>
      <c r="H277" s="621"/>
      <c r="I277" s="622"/>
      <c r="J277" s="623"/>
      <c r="K277" s="586"/>
      <c r="L277" s="586" t="str">
        <f t="shared" ref="L277:L287" si="9">L278</f>
        <v>PM02</v>
      </c>
      <c r="M277" s="571"/>
      <c r="N277" s="577" t="s">
        <v>611</v>
      </c>
      <c r="O277" s="577" t="s">
        <v>611</v>
      </c>
      <c r="P277" s="577" t="s">
        <v>611</v>
      </c>
      <c r="Q277" s="572"/>
      <c r="R277" s="573"/>
      <c r="S277" s="574"/>
      <c r="T277" s="574"/>
      <c r="U277" s="574"/>
      <c r="V277" s="574"/>
      <c r="W277" s="574"/>
      <c r="X277" s="572"/>
      <c r="Y277" s="572"/>
      <c r="Z277" s="572"/>
      <c r="AB277" s="573" t="s">
        <v>668</v>
      </c>
    </row>
    <row r="278" spans="1:28" s="607" customFormat="1">
      <c r="A278" s="649"/>
      <c r="B278" s="602" t="s">
        <v>835</v>
      </c>
      <c r="C278" s="613"/>
      <c r="D278" s="650">
        <v>1</v>
      </c>
      <c r="E278" s="651">
        <f>VLOOKUP(B278,'[10]auxiliar memoria'!$B$155:$E$302,2,FALSE)</f>
        <v>1</v>
      </c>
      <c r="F278" s="652"/>
      <c r="G278" s="653">
        <f>VLOOKUP(B278,'[10]auxiliar memoria'!$B$155:$E$302,3,FALSE)</f>
        <v>2.1</v>
      </c>
      <c r="H278" s="654">
        <f>IF(D278=0,"",IF(AND(D278&lt;0,E278*G278&gt;2),(ABS((2-(G278*E278)))*D278),IF(D278&gt;0,D278*E278*G278,0)))</f>
        <v>2.1</v>
      </c>
      <c r="I278" s="655"/>
      <c r="J278" s="656"/>
      <c r="K278" s="609">
        <f>H278</f>
        <v>2.1</v>
      </c>
      <c r="L278" s="609" t="str">
        <f>B278</f>
        <v>PM02</v>
      </c>
      <c r="M278" s="603"/>
      <c r="N278" s="577" t="s">
        <v>611</v>
      </c>
      <c r="O278" s="577" t="s">
        <v>611</v>
      </c>
      <c r="P278" s="608" t="s">
        <v>611</v>
      </c>
      <c r="Q278" s="604"/>
      <c r="R278" s="605"/>
      <c r="S278" s="606"/>
      <c r="T278" s="606"/>
      <c r="U278" s="606"/>
      <c r="V278" s="606"/>
      <c r="W278" s="606"/>
      <c r="X278" s="604"/>
      <c r="Y278" s="604"/>
      <c r="Z278" s="604"/>
      <c r="AB278" s="605" t="s">
        <v>668</v>
      </c>
    </row>
    <row r="279" spans="1:28" s="575" customFormat="1">
      <c r="A279" s="616"/>
      <c r="B279" s="576" t="s">
        <v>944</v>
      </c>
      <c r="C279" s="591"/>
      <c r="D279" s="617"/>
      <c r="E279" s="618"/>
      <c r="F279" s="619"/>
      <c r="G279" s="620"/>
      <c r="H279" s="621"/>
      <c r="I279" s="622"/>
      <c r="J279" s="623"/>
      <c r="K279" s="586"/>
      <c r="L279" s="586" t="str">
        <f t="shared" si="9"/>
        <v>PM02</v>
      </c>
      <c r="M279" s="571"/>
      <c r="N279" s="577" t="s">
        <v>611</v>
      </c>
      <c r="O279" s="577" t="s">
        <v>611</v>
      </c>
      <c r="P279" s="577" t="s">
        <v>611</v>
      </c>
      <c r="Q279" s="572"/>
      <c r="R279" s="573"/>
      <c r="S279" s="574"/>
      <c r="T279" s="574"/>
      <c r="U279" s="574"/>
      <c r="V279" s="574"/>
      <c r="W279" s="574"/>
      <c r="X279" s="572"/>
      <c r="Y279" s="572"/>
      <c r="Z279" s="572"/>
      <c r="AB279" s="573" t="s">
        <v>668</v>
      </c>
    </row>
    <row r="280" spans="1:28" s="607" customFormat="1">
      <c r="A280" s="649"/>
      <c r="B280" s="602" t="s">
        <v>835</v>
      </c>
      <c r="C280" s="613"/>
      <c r="D280" s="650">
        <v>1</v>
      </c>
      <c r="E280" s="651">
        <f>VLOOKUP(B280,'[10]auxiliar memoria'!$B$155:$E$302,2,FALSE)</f>
        <v>1</v>
      </c>
      <c r="F280" s="652"/>
      <c r="G280" s="653">
        <f>VLOOKUP(B280,'[10]auxiliar memoria'!$B$155:$E$302,3,FALSE)</f>
        <v>2.1</v>
      </c>
      <c r="H280" s="654">
        <f>IF(D280=0,"",IF(AND(D280&lt;0,E280*G280&gt;2),(ABS((2-(G280*E280)))*D280),IF(D280&gt;0,D280*E280*G280,0)))</f>
        <v>2.1</v>
      </c>
      <c r="I280" s="655"/>
      <c r="J280" s="656"/>
      <c r="K280" s="609">
        <f>H280</f>
        <v>2.1</v>
      </c>
      <c r="L280" s="609" t="str">
        <f>B280</f>
        <v>PM02</v>
      </c>
      <c r="M280" s="603"/>
      <c r="N280" s="577" t="s">
        <v>611</v>
      </c>
      <c r="O280" s="577" t="s">
        <v>611</v>
      </c>
      <c r="P280" s="608" t="s">
        <v>611</v>
      </c>
      <c r="Q280" s="604"/>
      <c r="R280" s="605"/>
      <c r="S280" s="606"/>
      <c r="T280" s="606"/>
      <c r="U280" s="606"/>
      <c r="V280" s="606"/>
      <c r="W280" s="606"/>
      <c r="X280" s="604"/>
      <c r="Y280" s="604"/>
      <c r="Z280" s="604"/>
      <c r="AB280" s="605" t="s">
        <v>668</v>
      </c>
    </row>
    <row r="281" spans="1:28" s="575" customFormat="1" ht="33.75" customHeight="1">
      <c r="A281" s="616"/>
      <c r="B281" s="576" t="s">
        <v>948</v>
      </c>
      <c r="C281" s="591"/>
      <c r="D281" s="617"/>
      <c r="E281" s="618"/>
      <c r="F281" s="619"/>
      <c r="G281" s="620"/>
      <c r="H281" s="621"/>
      <c r="I281" s="622"/>
      <c r="J281" s="623"/>
      <c r="K281" s="586"/>
      <c r="L281" s="586" t="str">
        <f t="shared" si="9"/>
        <v>PM01</v>
      </c>
      <c r="M281" s="571"/>
      <c r="N281" s="577" t="s">
        <v>611</v>
      </c>
      <c r="O281" s="577" t="s">
        <v>611</v>
      </c>
      <c r="P281" s="577" t="s">
        <v>611</v>
      </c>
      <c r="Q281" s="572"/>
      <c r="R281" s="573"/>
      <c r="S281" s="574"/>
      <c r="T281" s="574"/>
      <c r="U281" s="574"/>
      <c r="V281" s="574"/>
      <c r="W281" s="574"/>
      <c r="X281" s="572"/>
      <c r="Y281" s="572"/>
      <c r="Z281" s="572"/>
      <c r="AB281" s="573" t="s">
        <v>668</v>
      </c>
    </row>
    <row r="282" spans="1:28" s="607" customFormat="1">
      <c r="A282" s="649"/>
      <c r="B282" s="602" t="s">
        <v>704</v>
      </c>
      <c r="C282" s="613"/>
      <c r="D282" s="650">
        <v>1</v>
      </c>
      <c r="E282" s="651">
        <f>VLOOKUP(B282,'[10]auxiliar memoria'!$B$155:$E$302,2,FALSE)</f>
        <v>0.8</v>
      </c>
      <c r="F282" s="652"/>
      <c r="G282" s="653">
        <f>VLOOKUP(B282,'[10]auxiliar memoria'!$B$155:$E$302,3,FALSE)</f>
        <v>2.1</v>
      </c>
      <c r="H282" s="654">
        <f>IF(D282=0,"",IF(AND(D282&lt;0,E282*G282&gt;2),(ABS((2-(G282*E282)))*D282),IF(D282&gt;0,D282*E282*G282,0)))</f>
        <v>1.6800000000000002</v>
      </c>
      <c r="I282" s="655"/>
      <c r="J282" s="656"/>
      <c r="K282" s="609">
        <f>H282</f>
        <v>1.6800000000000002</v>
      </c>
      <c r="L282" s="609" t="str">
        <f>B282</f>
        <v>PM01</v>
      </c>
      <c r="M282" s="603"/>
      <c r="N282" s="577" t="s">
        <v>611</v>
      </c>
      <c r="O282" s="577" t="s">
        <v>611</v>
      </c>
      <c r="P282" s="608" t="s">
        <v>611</v>
      </c>
      <c r="Q282" s="604"/>
      <c r="R282" s="605"/>
      <c r="S282" s="606"/>
      <c r="T282" s="606"/>
      <c r="U282" s="606"/>
      <c r="V282" s="606"/>
      <c r="W282" s="606"/>
      <c r="X282" s="604"/>
      <c r="Y282" s="604"/>
      <c r="Z282" s="604"/>
      <c r="AB282" s="605" t="s">
        <v>668</v>
      </c>
    </row>
    <row r="283" spans="1:28" s="575" customFormat="1" ht="46.5">
      <c r="A283" s="616"/>
      <c r="B283" s="576" t="s">
        <v>949</v>
      </c>
      <c r="C283" s="591"/>
      <c r="D283" s="617"/>
      <c r="E283" s="618"/>
      <c r="F283" s="619"/>
      <c r="G283" s="620"/>
      <c r="H283" s="621"/>
      <c r="I283" s="622"/>
      <c r="J283" s="623"/>
      <c r="K283" s="586"/>
      <c r="L283" s="586" t="str">
        <f t="shared" si="9"/>
        <v>PM01</v>
      </c>
      <c r="M283" s="571"/>
      <c r="N283" s="577" t="s">
        <v>611</v>
      </c>
      <c r="O283" s="577" t="s">
        <v>611</v>
      </c>
      <c r="P283" s="577" t="s">
        <v>611</v>
      </c>
      <c r="Q283" s="572"/>
      <c r="R283" s="573"/>
      <c r="S283" s="574"/>
      <c r="T283" s="574"/>
      <c r="U283" s="574"/>
      <c r="V283" s="574"/>
      <c r="W283" s="574"/>
      <c r="X283" s="572"/>
      <c r="Y283" s="572"/>
      <c r="Z283" s="572"/>
      <c r="AB283" s="573" t="s">
        <v>668</v>
      </c>
    </row>
    <row r="284" spans="1:28" s="607" customFormat="1">
      <c r="A284" s="649"/>
      <c r="B284" s="602" t="s">
        <v>704</v>
      </c>
      <c r="C284" s="613"/>
      <c r="D284" s="650">
        <v>1</v>
      </c>
      <c r="E284" s="651">
        <f>VLOOKUP(B284,'[10]auxiliar memoria'!$B$155:$E$302,2,FALSE)</f>
        <v>0.8</v>
      </c>
      <c r="F284" s="652"/>
      <c r="G284" s="653">
        <f>VLOOKUP(B284,'[10]auxiliar memoria'!$B$155:$E$302,3,FALSE)</f>
        <v>2.1</v>
      </c>
      <c r="H284" s="654">
        <f>IF(D284=0,"",IF(AND(D284&lt;0,E284*G284&gt;2),(ABS((2-(G284*E284)))*D284),IF(D284&gt;0,D284*E284*G284,0)))</f>
        <v>1.6800000000000002</v>
      </c>
      <c r="I284" s="655"/>
      <c r="J284" s="656"/>
      <c r="K284" s="609">
        <f>H284</f>
        <v>1.6800000000000002</v>
      </c>
      <c r="L284" s="609" t="str">
        <f>B284</f>
        <v>PM01</v>
      </c>
      <c r="M284" s="603"/>
      <c r="N284" s="577" t="s">
        <v>611</v>
      </c>
      <c r="O284" s="577" t="s">
        <v>611</v>
      </c>
      <c r="P284" s="608" t="s">
        <v>611</v>
      </c>
      <c r="Q284" s="604"/>
      <c r="R284" s="605"/>
      <c r="S284" s="606"/>
      <c r="T284" s="606"/>
      <c r="U284" s="606"/>
      <c r="V284" s="606"/>
      <c r="W284" s="606"/>
      <c r="X284" s="604"/>
      <c r="Y284" s="604"/>
      <c r="Z284" s="604"/>
      <c r="AB284" s="605" t="s">
        <v>668</v>
      </c>
    </row>
    <row r="285" spans="1:28" s="575" customFormat="1" ht="46.5">
      <c r="A285" s="616"/>
      <c r="B285" s="576" t="s">
        <v>950</v>
      </c>
      <c r="C285" s="591"/>
      <c r="D285" s="617"/>
      <c r="E285" s="618"/>
      <c r="F285" s="619"/>
      <c r="G285" s="620"/>
      <c r="H285" s="621"/>
      <c r="I285" s="622"/>
      <c r="J285" s="623"/>
      <c r="K285" s="586"/>
      <c r="L285" s="586" t="str">
        <f t="shared" si="9"/>
        <v>PM01</v>
      </c>
      <c r="M285" s="571"/>
      <c r="N285" s="577" t="s">
        <v>611</v>
      </c>
      <c r="O285" s="577" t="s">
        <v>611</v>
      </c>
      <c r="P285" s="577" t="s">
        <v>611</v>
      </c>
      <c r="Q285" s="572"/>
      <c r="R285" s="573"/>
      <c r="S285" s="574"/>
      <c r="T285" s="574"/>
      <c r="U285" s="574"/>
      <c r="V285" s="574"/>
      <c r="W285" s="574"/>
      <c r="X285" s="572"/>
      <c r="Y285" s="572"/>
      <c r="Z285" s="572"/>
      <c r="AB285" s="573" t="s">
        <v>668</v>
      </c>
    </row>
    <row r="286" spans="1:28" s="607" customFormat="1">
      <c r="A286" s="649"/>
      <c r="B286" s="602" t="s">
        <v>704</v>
      </c>
      <c r="C286" s="613"/>
      <c r="D286" s="650">
        <v>1</v>
      </c>
      <c r="E286" s="651">
        <f>VLOOKUP(B286,'[10]auxiliar memoria'!$B$155:$E$302,2,FALSE)</f>
        <v>0.8</v>
      </c>
      <c r="F286" s="652"/>
      <c r="G286" s="653">
        <f>VLOOKUP(B286,'[10]auxiliar memoria'!$B$155:$E$302,3,FALSE)</f>
        <v>2.1</v>
      </c>
      <c r="H286" s="654">
        <f>IF(D286=0,"",IF(AND(D286&lt;0,E286*G286&gt;2),(ABS((2-(G286*E286)))*D286),IF(D286&gt;0,D286*E286*G286,0)))</f>
        <v>1.6800000000000002</v>
      </c>
      <c r="I286" s="655"/>
      <c r="J286" s="656"/>
      <c r="K286" s="609">
        <f>H286</f>
        <v>1.6800000000000002</v>
      </c>
      <c r="L286" s="609" t="str">
        <f>B286</f>
        <v>PM01</v>
      </c>
      <c r="M286" s="603"/>
      <c r="N286" s="577" t="s">
        <v>611</v>
      </c>
      <c r="O286" s="577" t="s">
        <v>611</v>
      </c>
      <c r="P286" s="608" t="s">
        <v>611</v>
      </c>
      <c r="Q286" s="604"/>
      <c r="R286" s="605"/>
      <c r="S286" s="606"/>
      <c r="T286" s="606"/>
      <c r="U286" s="606"/>
      <c r="V286" s="606"/>
      <c r="W286" s="606"/>
      <c r="X286" s="604"/>
      <c r="Y286" s="604"/>
      <c r="Z286" s="604"/>
      <c r="AB286" s="605" t="s">
        <v>668</v>
      </c>
    </row>
    <row r="287" spans="1:28" s="575" customFormat="1">
      <c r="A287" s="616"/>
      <c r="B287" s="576" t="s">
        <v>951</v>
      </c>
      <c r="C287" s="591"/>
      <c r="D287" s="617"/>
      <c r="E287" s="618"/>
      <c r="F287" s="619"/>
      <c r="G287" s="620"/>
      <c r="H287" s="621"/>
      <c r="I287" s="622"/>
      <c r="J287" s="623"/>
      <c r="K287" s="586"/>
      <c r="L287" s="586" t="str">
        <f t="shared" si="9"/>
        <v>PM01</v>
      </c>
      <c r="M287" s="571"/>
      <c r="N287" s="577" t="s">
        <v>611</v>
      </c>
      <c r="O287" s="577" t="s">
        <v>611</v>
      </c>
      <c r="P287" s="577" t="s">
        <v>611</v>
      </c>
      <c r="Q287" s="572"/>
      <c r="R287" s="573"/>
      <c r="S287" s="574"/>
      <c r="T287" s="574"/>
      <c r="U287" s="574"/>
      <c r="V287" s="574"/>
      <c r="W287" s="574"/>
      <c r="X287" s="572"/>
      <c r="Y287" s="572"/>
      <c r="Z287" s="572"/>
      <c r="AB287" s="573" t="s">
        <v>668</v>
      </c>
    </row>
    <row r="288" spans="1:28" s="607" customFormat="1">
      <c r="A288" s="649"/>
      <c r="B288" s="602" t="s">
        <v>704</v>
      </c>
      <c r="C288" s="613"/>
      <c r="D288" s="650">
        <v>1</v>
      </c>
      <c r="E288" s="651">
        <f>VLOOKUP(B288,'[10]auxiliar memoria'!$B$155:$E$302,2,FALSE)</f>
        <v>0.8</v>
      </c>
      <c r="F288" s="652"/>
      <c r="G288" s="653">
        <f>VLOOKUP(B288,'[10]auxiliar memoria'!$B$155:$E$302,3,FALSE)</f>
        <v>2.1</v>
      </c>
      <c r="H288" s="654">
        <f>IF(D288=0,"",IF(AND(D288&lt;0,E288*G288&gt;2),(ABS((2-(G288*E288)))*D288),IF(D288&gt;0,D288*E288*G288,0)))</f>
        <v>1.6800000000000002</v>
      </c>
      <c r="I288" s="655"/>
      <c r="J288" s="656"/>
      <c r="K288" s="609">
        <f>H288</f>
        <v>1.6800000000000002</v>
      </c>
      <c r="L288" s="609" t="str">
        <f>B288</f>
        <v>PM01</v>
      </c>
      <c r="M288" s="603"/>
      <c r="N288" s="577" t="s">
        <v>611</v>
      </c>
      <c r="O288" s="577" t="s">
        <v>611</v>
      </c>
      <c r="P288" s="608" t="s">
        <v>611</v>
      </c>
      <c r="Q288" s="604"/>
      <c r="R288" s="605"/>
      <c r="S288" s="606"/>
      <c r="T288" s="606"/>
      <c r="U288" s="606"/>
      <c r="V288" s="606"/>
      <c r="W288" s="606"/>
      <c r="X288" s="604"/>
      <c r="Y288" s="604"/>
      <c r="Z288" s="604"/>
      <c r="AB288" s="605" t="s">
        <v>668</v>
      </c>
    </row>
    <row r="289" spans="1:28" s="575" customFormat="1" ht="46.5">
      <c r="A289" s="616"/>
      <c r="B289" s="576" t="s">
        <v>787</v>
      </c>
      <c r="C289" s="591"/>
      <c r="D289" s="617"/>
      <c r="E289" s="618"/>
      <c r="F289" s="619"/>
      <c r="G289" s="620"/>
      <c r="H289" s="621"/>
      <c r="I289" s="622"/>
      <c r="J289" s="623"/>
      <c r="K289" s="586"/>
      <c r="L289" s="586" t="str">
        <f t="shared" ref="L289:L351" si="10">L290</f>
        <v>PM01</v>
      </c>
      <c r="M289" s="571"/>
      <c r="N289" s="577" t="s">
        <v>611</v>
      </c>
      <c r="O289" s="577" t="s">
        <v>611</v>
      </c>
      <c r="P289" s="577" t="s">
        <v>611</v>
      </c>
      <c r="Q289" s="572"/>
      <c r="R289" s="573"/>
      <c r="S289" s="574"/>
      <c r="T289" s="574"/>
      <c r="U289" s="574"/>
      <c r="V289" s="574"/>
      <c r="W289" s="574"/>
      <c r="X289" s="572"/>
      <c r="Y289" s="572"/>
      <c r="Z289" s="572"/>
      <c r="AB289" s="573" t="s">
        <v>668</v>
      </c>
    </row>
    <row r="290" spans="1:28" s="607" customFormat="1">
      <c r="A290" s="649"/>
      <c r="B290" s="602" t="s">
        <v>704</v>
      </c>
      <c r="C290" s="613"/>
      <c r="D290" s="650">
        <v>1</v>
      </c>
      <c r="E290" s="651">
        <f>VLOOKUP(B290,'[10]auxiliar memoria'!$B$155:$E$302,2,FALSE)</f>
        <v>0.8</v>
      </c>
      <c r="F290" s="652"/>
      <c r="G290" s="653">
        <f>VLOOKUP(B290,'[10]auxiliar memoria'!$B$155:$E$302,3,FALSE)</f>
        <v>2.1</v>
      </c>
      <c r="H290" s="654">
        <f>IF(D290=0,"",IF(AND(D290&lt;0,E290*G290&gt;2),(ABS((2-(G290*E290)))*D290),IF(D290&gt;0,D290*E290*G290,0)))</f>
        <v>1.6800000000000002</v>
      </c>
      <c r="I290" s="655"/>
      <c r="J290" s="656"/>
      <c r="K290" s="609">
        <f>H290</f>
        <v>1.6800000000000002</v>
      </c>
      <c r="L290" s="609" t="str">
        <f>B290</f>
        <v>PM01</v>
      </c>
      <c r="M290" s="603"/>
      <c r="N290" s="577" t="s">
        <v>611</v>
      </c>
      <c r="O290" s="577" t="s">
        <v>611</v>
      </c>
      <c r="P290" s="608" t="s">
        <v>611</v>
      </c>
      <c r="Q290" s="604"/>
      <c r="R290" s="605"/>
      <c r="S290" s="606"/>
      <c r="T290" s="606"/>
      <c r="U290" s="606"/>
      <c r="V290" s="606"/>
      <c r="W290" s="606"/>
      <c r="X290" s="604"/>
      <c r="Y290" s="604"/>
      <c r="Z290" s="604"/>
      <c r="AB290" s="605" t="s">
        <v>668</v>
      </c>
    </row>
    <row r="291" spans="1:28" s="575" customFormat="1" ht="46.5">
      <c r="A291" s="616"/>
      <c r="B291" s="576" t="s">
        <v>952</v>
      </c>
      <c r="C291" s="591"/>
      <c r="D291" s="617"/>
      <c r="E291" s="618"/>
      <c r="F291" s="619"/>
      <c r="G291" s="620"/>
      <c r="H291" s="621"/>
      <c r="I291" s="622"/>
      <c r="J291" s="623"/>
      <c r="K291" s="586"/>
      <c r="L291" s="586" t="str">
        <f t="shared" si="10"/>
        <v>PM01</v>
      </c>
      <c r="M291" s="571"/>
      <c r="N291" s="577" t="s">
        <v>611</v>
      </c>
      <c r="O291" s="577" t="s">
        <v>611</v>
      </c>
      <c r="P291" s="577" t="s">
        <v>611</v>
      </c>
      <c r="Q291" s="572"/>
      <c r="R291" s="573"/>
      <c r="S291" s="574"/>
      <c r="T291" s="574"/>
      <c r="U291" s="574"/>
      <c r="V291" s="574"/>
      <c r="W291" s="574"/>
      <c r="X291" s="572"/>
      <c r="Y291" s="572"/>
      <c r="Z291" s="572"/>
      <c r="AB291" s="573" t="s">
        <v>668</v>
      </c>
    </row>
    <row r="292" spans="1:28" s="607" customFormat="1">
      <c r="A292" s="649"/>
      <c r="B292" s="602" t="s">
        <v>704</v>
      </c>
      <c r="C292" s="613"/>
      <c r="D292" s="650">
        <v>1</v>
      </c>
      <c r="E292" s="651">
        <f>VLOOKUP(B292,'[10]auxiliar memoria'!$B$155:$E$302,2,FALSE)</f>
        <v>0.8</v>
      </c>
      <c r="F292" s="652"/>
      <c r="G292" s="653">
        <f>VLOOKUP(B292,'[10]auxiliar memoria'!$B$155:$E$302,3,FALSE)</f>
        <v>2.1</v>
      </c>
      <c r="H292" s="654">
        <f>IF(D292=0,"",IF(AND(D292&lt;0,E292*G292&gt;2),(ABS((2-(G292*E292)))*D292),IF(D292&gt;0,D292*E292*G292,0)))</f>
        <v>1.6800000000000002</v>
      </c>
      <c r="I292" s="655"/>
      <c r="J292" s="656"/>
      <c r="K292" s="609">
        <f>H292</f>
        <v>1.6800000000000002</v>
      </c>
      <c r="L292" s="609" t="str">
        <f>B292</f>
        <v>PM01</v>
      </c>
      <c r="M292" s="603"/>
      <c r="N292" s="577" t="s">
        <v>611</v>
      </c>
      <c r="O292" s="577" t="s">
        <v>611</v>
      </c>
      <c r="P292" s="608" t="s">
        <v>611</v>
      </c>
      <c r="Q292" s="604"/>
      <c r="R292" s="605"/>
      <c r="S292" s="606"/>
      <c r="T292" s="606"/>
      <c r="U292" s="606"/>
      <c r="V292" s="606"/>
      <c r="W292" s="606"/>
      <c r="X292" s="604"/>
      <c r="Y292" s="604"/>
      <c r="Z292" s="604"/>
      <c r="AB292" s="605" t="s">
        <v>668</v>
      </c>
    </row>
    <row r="293" spans="1:28" s="575" customFormat="1">
      <c r="A293" s="616"/>
      <c r="B293" s="576" t="s">
        <v>953</v>
      </c>
      <c r="C293" s="591"/>
      <c r="D293" s="617"/>
      <c r="E293" s="618"/>
      <c r="F293" s="619"/>
      <c r="G293" s="620"/>
      <c r="H293" s="621"/>
      <c r="I293" s="622"/>
      <c r="J293" s="623"/>
      <c r="K293" s="586"/>
      <c r="L293" s="586" t="str">
        <f t="shared" si="10"/>
        <v>PM01</v>
      </c>
      <c r="M293" s="571"/>
      <c r="N293" s="577" t="s">
        <v>611</v>
      </c>
      <c r="O293" s="577" t="s">
        <v>611</v>
      </c>
      <c r="P293" s="577" t="s">
        <v>611</v>
      </c>
      <c r="Q293" s="572"/>
      <c r="R293" s="573"/>
      <c r="S293" s="574"/>
      <c r="T293" s="574"/>
      <c r="U293" s="574"/>
      <c r="V293" s="574"/>
      <c r="W293" s="574"/>
      <c r="X293" s="572"/>
      <c r="Y293" s="572"/>
      <c r="Z293" s="572"/>
      <c r="AB293" s="573" t="s">
        <v>668</v>
      </c>
    </row>
    <row r="294" spans="1:28" s="607" customFormat="1">
      <c r="A294" s="649"/>
      <c r="B294" s="602" t="s">
        <v>704</v>
      </c>
      <c r="C294" s="613"/>
      <c r="D294" s="650">
        <v>1</v>
      </c>
      <c r="E294" s="651">
        <f>VLOOKUP(B294,'[10]auxiliar memoria'!$B$155:$E$302,2,FALSE)</f>
        <v>0.8</v>
      </c>
      <c r="F294" s="652"/>
      <c r="G294" s="653">
        <f>VLOOKUP(B294,'[10]auxiliar memoria'!$B$155:$E$302,3,FALSE)</f>
        <v>2.1</v>
      </c>
      <c r="H294" s="654">
        <f>IF(D294=0,"",IF(AND(D294&lt;0,E294*G294&gt;2),(ABS((2-(G294*E294)))*D294),IF(D294&gt;0,D294*E294*G294,0)))</f>
        <v>1.6800000000000002</v>
      </c>
      <c r="I294" s="655"/>
      <c r="J294" s="656"/>
      <c r="K294" s="609">
        <f>H294</f>
        <v>1.6800000000000002</v>
      </c>
      <c r="L294" s="609" t="str">
        <f>B294</f>
        <v>PM01</v>
      </c>
      <c r="M294" s="603"/>
      <c r="N294" s="577" t="s">
        <v>611</v>
      </c>
      <c r="O294" s="577" t="s">
        <v>611</v>
      </c>
      <c r="P294" s="608" t="s">
        <v>611</v>
      </c>
      <c r="Q294" s="604"/>
      <c r="R294" s="605"/>
      <c r="S294" s="606"/>
      <c r="T294" s="606"/>
      <c r="U294" s="606"/>
      <c r="V294" s="606"/>
      <c r="W294" s="606"/>
      <c r="X294" s="604"/>
      <c r="Y294" s="604"/>
      <c r="Z294" s="604"/>
      <c r="AB294" s="605" t="s">
        <v>668</v>
      </c>
    </row>
    <row r="295" spans="1:28" s="575" customFormat="1">
      <c r="A295" s="616"/>
      <c r="B295" s="576" t="s">
        <v>945</v>
      </c>
      <c r="C295" s="591"/>
      <c r="D295" s="617"/>
      <c r="E295" s="618"/>
      <c r="F295" s="619"/>
      <c r="G295" s="620"/>
      <c r="H295" s="621"/>
      <c r="I295" s="622"/>
      <c r="J295" s="623"/>
      <c r="K295" s="586"/>
      <c r="L295" s="586" t="str">
        <f t="shared" si="10"/>
        <v>PM02</v>
      </c>
      <c r="M295" s="571"/>
      <c r="N295" s="577" t="s">
        <v>611</v>
      </c>
      <c r="O295" s="577" t="s">
        <v>611</v>
      </c>
      <c r="P295" s="577" t="s">
        <v>611</v>
      </c>
      <c r="Q295" s="572"/>
      <c r="R295" s="573"/>
      <c r="S295" s="574"/>
      <c r="T295" s="574"/>
      <c r="U295" s="574"/>
      <c r="V295" s="574"/>
      <c r="W295" s="574"/>
      <c r="X295" s="572"/>
      <c r="Y295" s="572"/>
      <c r="Z295" s="572"/>
      <c r="AB295" s="573" t="s">
        <v>668</v>
      </c>
    </row>
    <row r="296" spans="1:28" s="607" customFormat="1">
      <c r="A296" s="649"/>
      <c r="B296" s="602" t="s">
        <v>835</v>
      </c>
      <c r="C296" s="613"/>
      <c r="D296" s="650">
        <v>1</v>
      </c>
      <c r="E296" s="651">
        <f>VLOOKUP(B296,'[10]auxiliar memoria'!$B$155:$E$302,2,FALSE)</f>
        <v>1</v>
      </c>
      <c r="F296" s="652"/>
      <c r="G296" s="653">
        <f>VLOOKUP(B296,'[10]auxiliar memoria'!$B$155:$E$302,3,FALSE)</f>
        <v>2.1</v>
      </c>
      <c r="H296" s="654">
        <f>IF(D296=0,"",IF(AND(D296&lt;0,E296*G296&gt;2),(ABS((2-(G296*E296)))*D296),IF(D296&gt;0,D296*E296*G296,0)))</f>
        <v>2.1</v>
      </c>
      <c r="I296" s="655"/>
      <c r="J296" s="656"/>
      <c r="K296" s="609">
        <f>H296</f>
        <v>2.1</v>
      </c>
      <c r="L296" s="609" t="str">
        <f>B296</f>
        <v>PM02</v>
      </c>
      <c r="M296" s="603"/>
      <c r="N296" s="577" t="s">
        <v>611</v>
      </c>
      <c r="O296" s="577" t="s">
        <v>611</v>
      </c>
      <c r="P296" s="608" t="s">
        <v>611</v>
      </c>
      <c r="Q296" s="604"/>
      <c r="R296" s="605"/>
      <c r="S296" s="606"/>
      <c r="T296" s="606"/>
      <c r="U296" s="606"/>
      <c r="V296" s="606"/>
      <c r="W296" s="606"/>
      <c r="X296" s="604"/>
      <c r="Y296" s="604"/>
      <c r="Z296" s="604"/>
      <c r="AB296" s="605" t="s">
        <v>668</v>
      </c>
    </row>
    <row r="297" spans="1:28" s="575" customFormat="1">
      <c r="A297" s="616"/>
      <c r="B297" s="576" t="s">
        <v>954</v>
      </c>
      <c r="C297" s="591"/>
      <c r="D297" s="617"/>
      <c r="E297" s="618"/>
      <c r="F297" s="619"/>
      <c r="G297" s="620"/>
      <c r="H297" s="621"/>
      <c r="I297" s="622"/>
      <c r="J297" s="623"/>
      <c r="K297" s="586"/>
      <c r="L297" s="586" t="str">
        <f t="shared" si="10"/>
        <v>PM01</v>
      </c>
      <c r="M297" s="571"/>
      <c r="N297" s="577" t="s">
        <v>611</v>
      </c>
      <c r="O297" s="577" t="s">
        <v>611</v>
      </c>
      <c r="P297" s="577" t="s">
        <v>611</v>
      </c>
      <c r="Q297" s="572"/>
      <c r="R297" s="573"/>
      <c r="S297" s="574"/>
      <c r="T297" s="574"/>
      <c r="U297" s="574"/>
      <c r="V297" s="574"/>
      <c r="W297" s="574"/>
      <c r="X297" s="572"/>
      <c r="Y297" s="572"/>
      <c r="Z297" s="572"/>
      <c r="AB297" s="573" t="s">
        <v>668</v>
      </c>
    </row>
    <row r="298" spans="1:28" s="607" customFormat="1">
      <c r="A298" s="649"/>
      <c r="B298" s="602" t="s">
        <v>704</v>
      </c>
      <c r="C298" s="613"/>
      <c r="D298" s="650">
        <v>1</v>
      </c>
      <c r="E298" s="651">
        <f>VLOOKUP(B298,'[10]auxiliar memoria'!$B$155:$E$302,2,FALSE)</f>
        <v>0.8</v>
      </c>
      <c r="F298" s="652"/>
      <c r="G298" s="653">
        <f>VLOOKUP(B298,'[10]auxiliar memoria'!$B$155:$E$302,3,FALSE)</f>
        <v>2.1</v>
      </c>
      <c r="H298" s="654">
        <f>IF(D298=0,"",IF(AND(D298&lt;0,E298*G298&gt;2),(ABS((2-(G298*E298)))*D298),IF(D298&gt;0,D298*E298*G298,0)))</f>
        <v>1.6800000000000002</v>
      </c>
      <c r="I298" s="655"/>
      <c r="J298" s="656"/>
      <c r="K298" s="609">
        <f>H298</f>
        <v>1.6800000000000002</v>
      </c>
      <c r="L298" s="609" t="str">
        <f>B298</f>
        <v>PM01</v>
      </c>
      <c r="M298" s="603"/>
      <c r="N298" s="577" t="s">
        <v>611</v>
      </c>
      <c r="O298" s="577" t="s">
        <v>611</v>
      </c>
      <c r="P298" s="608" t="s">
        <v>611</v>
      </c>
      <c r="Q298" s="604"/>
      <c r="R298" s="605"/>
      <c r="S298" s="606"/>
      <c r="T298" s="606"/>
      <c r="U298" s="606"/>
      <c r="V298" s="606"/>
      <c r="W298" s="606"/>
      <c r="X298" s="604"/>
      <c r="Y298" s="604"/>
      <c r="Z298" s="604"/>
      <c r="AB298" s="605" t="s">
        <v>668</v>
      </c>
    </row>
    <row r="299" spans="1:28" s="575" customFormat="1">
      <c r="A299" s="616"/>
      <c r="B299" s="576" t="s">
        <v>955</v>
      </c>
      <c r="C299" s="591"/>
      <c r="D299" s="617"/>
      <c r="E299" s="618"/>
      <c r="F299" s="619"/>
      <c r="G299" s="620"/>
      <c r="H299" s="621"/>
      <c r="I299" s="622"/>
      <c r="J299" s="623"/>
      <c r="K299" s="586"/>
      <c r="L299" s="586" t="str">
        <f t="shared" si="10"/>
        <v>PM01</v>
      </c>
      <c r="M299" s="571"/>
      <c r="N299" s="577" t="s">
        <v>611</v>
      </c>
      <c r="O299" s="577" t="s">
        <v>611</v>
      </c>
      <c r="P299" s="608" t="s">
        <v>611</v>
      </c>
      <c r="Q299" s="572"/>
      <c r="R299" s="573"/>
      <c r="S299" s="574"/>
      <c r="T299" s="574"/>
      <c r="U299" s="574"/>
      <c r="V299" s="574"/>
      <c r="W299" s="574"/>
      <c r="X299" s="572"/>
      <c r="Y299" s="572"/>
      <c r="Z299" s="572"/>
      <c r="AB299" s="573"/>
    </row>
    <row r="300" spans="1:28" s="607" customFormat="1">
      <c r="A300" s="649"/>
      <c r="B300" s="602" t="s">
        <v>704</v>
      </c>
      <c r="C300" s="613"/>
      <c r="D300" s="650">
        <v>1</v>
      </c>
      <c r="E300" s="651">
        <f>VLOOKUP(B300,'[10]auxiliar memoria'!$B$155:$E$302,2,FALSE)</f>
        <v>0.8</v>
      </c>
      <c r="F300" s="652"/>
      <c r="G300" s="653">
        <f>VLOOKUP(B300,'[10]auxiliar memoria'!$B$155:$E$302,3,FALSE)</f>
        <v>2.1</v>
      </c>
      <c r="H300" s="654">
        <f>IF(D300=0,"",IF(AND(D300&lt;0,E300*G300&gt;2),(ABS((2-(G300*E300)))*D300),IF(D300&gt;0,D300*E300*G300,0)))</f>
        <v>1.6800000000000002</v>
      </c>
      <c r="I300" s="655"/>
      <c r="J300" s="656"/>
      <c r="K300" s="609">
        <f>H300</f>
        <v>1.6800000000000002</v>
      </c>
      <c r="L300" s="609" t="str">
        <f>B300</f>
        <v>PM01</v>
      </c>
      <c r="M300" s="603"/>
      <c r="N300" s="577" t="s">
        <v>611</v>
      </c>
      <c r="O300" s="577" t="s">
        <v>611</v>
      </c>
      <c r="P300" s="608" t="s">
        <v>611</v>
      </c>
      <c r="Q300" s="604"/>
      <c r="R300" s="605"/>
      <c r="S300" s="606"/>
      <c r="T300" s="606"/>
      <c r="U300" s="606"/>
      <c r="V300" s="606"/>
      <c r="W300" s="606"/>
      <c r="X300" s="604"/>
      <c r="Y300" s="604"/>
      <c r="Z300" s="604"/>
      <c r="AB300" s="605" t="s">
        <v>668</v>
      </c>
    </row>
    <row r="301" spans="1:28" s="575" customFormat="1">
      <c r="A301" s="616"/>
      <c r="B301" s="576" t="s">
        <v>956</v>
      </c>
      <c r="C301" s="591"/>
      <c r="D301" s="617"/>
      <c r="E301" s="618"/>
      <c r="F301" s="619"/>
      <c r="G301" s="620"/>
      <c r="H301" s="621"/>
      <c r="I301" s="622"/>
      <c r="J301" s="623"/>
      <c r="K301" s="586"/>
      <c r="L301" s="586" t="str">
        <f t="shared" si="10"/>
        <v>PM01</v>
      </c>
      <c r="M301" s="571"/>
      <c r="N301" s="577" t="s">
        <v>611</v>
      </c>
      <c r="O301" s="577" t="s">
        <v>611</v>
      </c>
      <c r="P301" s="608" t="s">
        <v>611</v>
      </c>
      <c r="Q301" s="572"/>
      <c r="R301" s="573"/>
      <c r="S301" s="574"/>
      <c r="T301" s="574"/>
      <c r="U301" s="574"/>
      <c r="V301" s="574"/>
      <c r="W301" s="574"/>
      <c r="X301" s="572"/>
      <c r="Y301" s="572"/>
      <c r="Z301" s="572"/>
      <c r="AB301" s="573"/>
    </row>
    <row r="302" spans="1:28" s="607" customFormat="1">
      <c r="A302" s="649"/>
      <c r="B302" s="602" t="s">
        <v>704</v>
      </c>
      <c r="C302" s="613"/>
      <c r="D302" s="650">
        <v>1</v>
      </c>
      <c r="E302" s="651">
        <f>VLOOKUP(B302,'[10]auxiliar memoria'!$B$155:$E$302,2,FALSE)</f>
        <v>0.8</v>
      </c>
      <c r="F302" s="652"/>
      <c r="G302" s="653">
        <f>VLOOKUP(B302,'[10]auxiliar memoria'!$B$155:$E$302,3,FALSE)</f>
        <v>2.1</v>
      </c>
      <c r="H302" s="654">
        <f>IF(D302=0,"",IF(AND(D302&lt;0,E302*G302&gt;2),(ABS((2-(G302*E302)))*D302),IF(D302&gt;0,D302*E302*G302,0)))</f>
        <v>1.6800000000000002</v>
      </c>
      <c r="I302" s="655"/>
      <c r="J302" s="656"/>
      <c r="K302" s="609">
        <f>H302</f>
        <v>1.6800000000000002</v>
      </c>
      <c r="L302" s="609" t="str">
        <f>B302</f>
        <v>PM01</v>
      </c>
      <c r="M302" s="603"/>
      <c r="N302" s="577" t="s">
        <v>611</v>
      </c>
      <c r="O302" s="577" t="s">
        <v>611</v>
      </c>
      <c r="P302" s="608" t="s">
        <v>611</v>
      </c>
      <c r="Q302" s="604"/>
      <c r="R302" s="605"/>
      <c r="S302" s="606"/>
      <c r="T302" s="606"/>
      <c r="U302" s="606"/>
      <c r="V302" s="606"/>
      <c r="W302" s="606"/>
      <c r="X302" s="604"/>
      <c r="Y302" s="604"/>
      <c r="Z302" s="604"/>
      <c r="AB302" s="605" t="s">
        <v>668</v>
      </c>
    </row>
    <row r="303" spans="1:28" s="575" customFormat="1" ht="46.5">
      <c r="A303" s="616"/>
      <c r="B303" s="576" t="s">
        <v>957</v>
      </c>
      <c r="C303" s="591"/>
      <c r="D303" s="617"/>
      <c r="E303" s="618"/>
      <c r="F303" s="619"/>
      <c r="G303" s="620"/>
      <c r="H303" s="621"/>
      <c r="I303" s="622"/>
      <c r="J303" s="623"/>
      <c r="K303" s="586"/>
      <c r="L303" s="586" t="str">
        <f t="shared" si="10"/>
        <v>PM01</v>
      </c>
      <c r="M303" s="571"/>
      <c r="N303" s="577" t="s">
        <v>611</v>
      </c>
      <c r="O303" s="577" t="s">
        <v>611</v>
      </c>
      <c r="P303" s="608" t="s">
        <v>611</v>
      </c>
      <c r="Q303" s="572"/>
      <c r="R303" s="573"/>
      <c r="S303" s="574"/>
      <c r="T303" s="574"/>
      <c r="U303" s="574"/>
      <c r="V303" s="574"/>
      <c r="W303" s="574"/>
      <c r="X303" s="572"/>
      <c r="Y303" s="572"/>
      <c r="Z303" s="572"/>
      <c r="AB303" s="573"/>
    </row>
    <row r="304" spans="1:28" s="607" customFormat="1">
      <c r="A304" s="649"/>
      <c r="B304" s="602" t="s">
        <v>704</v>
      </c>
      <c r="C304" s="613"/>
      <c r="D304" s="650">
        <v>1</v>
      </c>
      <c r="E304" s="651">
        <f>VLOOKUP(B304,'[10]auxiliar memoria'!$B$155:$E$302,2,FALSE)</f>
        <v>0.8</v>
      </c>
      <c r="F304" s="652"/>
      <c r="G304" s="653">
        <f>VLOOKUP(B304,'[10]auxiliar memoria'!$B$155:$E$302,3,FALSE)</f>
        <v>2.1</v>
      </c>
      <c r="H304" s="654">
        <f>IF(D304=0,"",IF(AND(D304&lt;0,E304*G304&gt;2),(ABS((2-(G304*E304)))*D304),IF(D304&gt;0,D304*E304*G304,0)))</f>
        <v>1.6800000000000002</v>
      </c>
      <c r="I304" s="655"/>
      <c r="J304" s="656"/>
      <c r="K304" s="609">
        <f>H304</f>
        <v>1.6800000000000002</v>
      </c>
      <c r="L304" s="609" t="str">
        <f>B304</f>
        <v>PM01</v>
      </c>
      <c r="M304" s="603"/>
      <c r="N304" s="577" t="s">
        <v>611</v>
      </c>
      <c r="O304" s="577" t="s">
        <v>611</v>
      </c>
      <c r="P304" s="608" t="s">
        <v>611</v>
      </c>
      <c r="Q304" s="604"/>
      <c r="R304" s="605"/>
      <c r="S304" s="606"/>
      <c r="T304" s="606"/>
      <c r="U304" s="606"/>
      <c r="V304" s="606"/>
      <c r="W304" s="606"/>
      <c r="X304" s="604"/>
      <c r="Y304" s="604"/>
      <c r="Z304" s="604"/>
      <c r="AB304" s="605" t="s">
        <v>668</v>
      </c>
    </row>
    <row r="305" spans="1:28" s="575" customFormat="1" ht="46.5">
      <c r="A305" s="616"/>
      <c r="B305" s="576" t="s">
        <v>958</v>
      </c>
      <c r="C305" s="591"/>
      <c r="D305" s="617"/>
      <c r="E305" s="618"/>
      <c r="F305" s="619"/>
      <c r="G305" s="620"/>
      <c r="H305" s="621"/>
      <c r="I305" s="622"/>
      <c r="J305" s="623"/>
      <c r="K305" s="586"/>
      <c r="L305" s="586" t="str">
        <f t="shared" si="10"/>
        <v>PM03</v>
      </c>
      <c r="M305" s="571"/>
      <c r="N305" s="577" t="s">
        <v>611</v>
      </c>
      <c r="O305" s="577" t="s">
        <v>611</v>
      </c>
      <c r="P305" s="608" t="s">
        <v>611</v>
      </c>
      <c r="Q305" s="572"/>
      <c r="R305" s="573"/>
      <c r="S305" s="574"/>
      <c r="T305" s="574"/>
      <c r="U305" s="574"/>
      <c r="V305" s="574"/>
      <c r="W305" s="574"/>
      <c r="X305" s="572"/>
      <c r="Y305" s="572"/>
      <c r="Z305" s="572"/>
      <c r="AB305" s="573"/>
    </row>
    <row r="306" spans="1:28" s="607" customFormat="1">
      <c r="A306" s="649"/>
      <c r="B306" s="602" t="s">
        <v>834</v>
      </c>
      <c r="C306" s="613"/>
      <c r="D306" s="650">
        <v>1</v>
      </c>
      <c r="E306" s="651">
        <f>VLOOKUP(B306,'[10]auxiliar memoria'!$B$155:$E$302,2,FALSE)</f>
        <v>0.7</v>
      </c>
      <c r="F306" s="652"/>
      <c r="G306" s="653">
        <f>VLOOKUP(B306,'[10]auxiliar memoria'!$B$155:$E$302,3,FALSE)</f>
        <v>2.1</v>
      </c>
      <c r="H306" s="654">
        <f>IF(D306=0,"",IF(AND(D306&lt;0,E306*G306&gt;2),(ABS((2-(G306*E306)))*D306),IF(D306&gt;0,D306*E306*G306,0)))</f>
        <v>1.47</v>
      </c>
      <c r="I306" s="655"/>
      <c r="J306" s="656"/>
      <c r="K306" s="609">
        <f>H306</f>
        <v>1.47</v>
      </c>
      <c r="L306" s="609" t="str">
        <f>B306</f>
        <v>PM03</v>
      </c>
      <c r="M306" s="603"/>
      <c r="N306" s="577" t="s">
        <v>611</v>
      </c>
      <c r="O306" s="577" t="s">
        <v>611</v>
      </c>
      <c r="P306" s="608" t="s">
        <v>611</v>
      </c>
      <c r="Q306" s="604"/>
      <c r="R306" s="605"/>
      <c r="S306" s="606"/>
      <c r="T306" s="606"/>
      <c r="U306" s="606"/>
      <c r="V306" s="606"/>
      <c r="W306" s="606"/>
      <c r="X306" s="604"/>
      <c r="Y306" s="604"/>
      <c r="Z306" s="604"/>
      <c r="AB306" s="605" t="s">
        <v>668</v>
      </c>
    </row>
    <row r="307" spans="1:28" s="575" customFormat="1" ht="46.5">
      <c r="A307" s="616"/>
      <c r="B307" s="576" t="s">
        <v>959</v>
      </c>
      <c r="C307" s="591"/>
      <c r="D307" s="617"/>
      <c r="E307" s="618"/>
      <c r="F307" s="619"/>
      <c r="G307" s="620"/>
      <c r="H307" s="621"/>
      <c r="I307" s="622"/>
      <c r="J307" s="623"/>
      <c r="K307" s="586"/>
      <c r="L307" s="586" t="str">
        <f t="shared" si="10"/>
        <v>PM03</v>
      </c>
      <c r="M307" s="571"/>
      <c r="N307" s="577" t="s">
        <v>611</v>
      </c>
      <c r="O307" s="577" t="s">
        <v>611</v>
      </c>
      <c r="P307" s="608" t="s">
        <v>611</v>
      </c>
      <c r="Q307" s="572"/>
      <c r="R307" s="573"/>
      <c r="S307" s="574"/>
      <c r="T307" s="574"/>
      <c r="U307" s="574"/>
      <c r="V307" s="574"/>
      <c r="W307" s="574"/>
      <c r="X307" s="572"/>
      <c r="Y307" s="572"/>
      <c r="Z307" s="572"/>
      <c r="AB307" s="573"/>
    </row>
    <row r="308" spans="1:28" s="607" customFormat="1">
      <c r="A308" s="649"/>
      <c r="B308" s="602" t="s">
        <v>834</v>
      </c>
      <c r="C308" s="613"/>
      <c r="D308" s="650">
        <v>1</v>
      </c>
      <c r="E308" s="651">
        <f>VLOOKUP(B308,'[10]auxiliar memoria'!$B$155:$E$302,2,FALSE)</f>
        <v>0.7</v>
      </c>
      <c r="F308" s="652"/>
      <c r="G308" s="653">
        <f>VLOOKUP(B308,'[10]auxiliar memoria'!$B$155:$E$302,3,FALSE)</f>
        <v>2.1</v>
      </c>
      <c r="H308" s="654">
        <f>IF(D308=0,"",IF(AND(D308&lt;0,E308*G308&gt;2),(ABS((2-(G308*E308)))*D308),IF(D308&gt;0,D308*E308*G308,0)))</f>
        <v>1.47</v>
      </c>
      <c r="I308" s="655"/>
      <c r="J308" s="656"/>
      <c r="K308" s="609">
        <f>H308</f>
        <v>1.47</v>
      </c>
      <c r="L308" s="609" t="str">
        <f>B308</f>
        <v>PM03</v>
      </c>
      <c r="M308" s="603"/>
      <c r="N308" s="577" t="s">
        <v>611</v>
      </c>
      <c r="O308" s="577" t="s">
        <v>611</v>
      </c>
      <c r="P308" s="608" t="s">
        <v>611</v>
      </c>
      <c r="Q308" s="604"/>
      <c r="R308" s="605"/>
      <c r="S308" s="606"/>
      <c r="T308" s="606"/>
      <c r="U308" s="606"/>
      <c r="V308" s="606"/>
      <c r="W308" s="606"/>
      <c r="X308" s="604"/>
      <c r="Y308" s="604"/>
      <c r="Z308" s="604"/>
      <c r="AB308" s="605" t="s">
        <v>668</v>
      </c>
    </row>
    <row r="309" spans="1:28" s="575" customFormat="1">
      <c r="A309" s="616"/>
      <c r="B309" s="576" t="s">
        <v>960</v>
      </c>
      <c r="C309" s="591"/>
      <c r="D309" s="617"/>
      <c r="E309" s="618"/>
      <c r="F309" s="619"/>
      <c r="G309" s="620"/>
      <c r="H309" s="621"/>
      <c r="I309" s="622"/>
      <c r="J309" s="623"/>
      <c r="K309" s="586"/>
      <c r="L309" s="586" t="str">
        <f t="shared" si="10"/>
        <v>PM01</v>
      </c>
      <c r="M309" s="571"/>
      <c r="N309" s="577" t="s">
        <v>611</v>
      </c>
      <c r="O309" s="577" t="s">
        <v>611</v>
      </c>
      <c r="P309" s="608" t="s">
        <v>611</v>
      </c>
      <c r="Q309" s="572"/>
      <c r="R309" s="573"/>
      <c r="S309" s="574"/>
      <c r="T309" s="574"/>
      <c r="U309" s="574"/>
      <c r="V309" s="574"/>
      <c r="W309" s="574"/>
      <c r="X309" s="572"/>
      <c r="Y309" s="572"/>
      <c r="Z309" s="572"/>
      <c r="AB309" s="573"/>
    </row>
    <row r="310" spans="1:28" s="607" customFormat="1">
      <c r="A310" s="649"/>
      <c r="B310" s="602" t="s">
        <v>704</v>
      </c>
      <c r="C310" s="613"/>
      <c r="D310" s="650">
        <v>1</v>
      </c>
      <c r="E310" s="651">
        <f>VLOOKUP(B310,'[10]auxiliar memoria'!$B$155:$E$302,2,FALSE)</f>
        <v>0.8</v>
      </c>
      <c r="F310" s="652"/>
      <c r="G310" s="653">
        <f>VLOOKUP(B310,'[10]auxiliar memoria'!$B$155:$E$302,3,FALSE)</f>
        <v>2.1</v>
      </c>
      <c r="H310" s="654">
        <f>IF(D310=0,"",IF(AND(D310&lt;0,E310*G310&gt;2),(ABS((2-(G310*E310)))*D310),IF(D310&gt;0,D310*E310*G310,0)))</f>
        <v>1.6800000000000002</v>
      </c>
      <c r="I310" s="655"/>
      <c r="J310" s="656"/>
      <c r="K310" s="609">
        <f>H310</f>
        <v>1.6800000000000002</v>
      </c>
      <c r="L310" s="609" t="str">
        <f>B310</f>
        <v>PM01</v>
      </c>
      <c r="M310" s="603"/>
      <c r="N310" s="577" t="s">
        <v>611</v>
      </c>
      <c r="O310" s="577" t="s">
        <v>611</v>
      </c>
      <c r="P310" s="608" t="s">
        <v>611</v>
      </c>
      <c r="Q310" s="604"/>
      <c r="R310" s="605"/>
      <c r="S310" s="606"/>
      <c r="T310" s="606"/>
      <c r="U310" s="606"/>
      <c r="V310" s="606"/>
      <c r="W310" s="606"/>
      <c r="X310" s="604"/>
      <c r="Y310" s="604"/>
      <c r="Z310" s="604"/>
      <c r="AB310" s="605" t="s">
        <v>668</v>
      </c>
    </row>
    <row r="311" spans="1:28" s="575" customFormat="1">
      <c r="A311" s="616"/>
      <c r="B311" s="576" t="s">
        <v>961</v>
      </c>
      <c r="C311" s="591"/>
      <c r="D311" s="617"/>
      <c r="E311" s="618"/>
      <c r="F311" s="619"/>
      <c r="G311" s="620"/>
      <c r="H311" s="621"/>
      <c r="I311" s="622"/>
      <c r="J311" s="623"/>
      <c r="K311" s="586"/>
      <c r="L311" s="586" t="str">
        <f t="shared" si="10"/>
        <v>PM01</v>
      </c>
      <c r="M311" s="571"/>
      <c r="N311" s="577" t="s">
        <v>611</v>
      </c>
      <c r="O311" s="577" t="s">
        <v>611</v>
      </c>
      <c r="P311" s="608" t="s">
        <v>611</v>
      </c>
      <c r="Q311" s="572"/>
      <c r="R311" s="573"/>
      <c r="S311" s="574"/>
      <c r="T311" s="574"/>
      <c r="U311" s="574"/>
      <c r="V311" s="574"/>
      <c r="W311" s="574"/>
      <c r="X311" s="572"/>
      <c r="Y311" s="572"/>
      <c r="Z311" s="572"/>
      <c r="AB311" s="573"/>
    </row>
    <row r="312" spans="1:28" s="607" customFormat="1">
      <c r="A312" s="649"/>
      <c r="B312" s="602" t="s">
        <v>704</v>
      </c>
      <c r="C312" s="613"/>
      <c r="D312" s="650">
        <v>1</v>
      </c>
      <c r="E312" s="651">
        <f>VLOOKUP(B312,'[10]auxiliar memoria'!$B$155:$E$302,2,FALSE)</f>
        <v>0.8</v>
      </c>
      <c r="F312" s="652"/>
      <c r="G312" s="653">
        <f>VLOOKUP(B312,'[10]auxiliar memoria'!$B$155:$E$302,3,FALSE)</f>
        <v>2.1</v>
      </c>
      <c r="H312" s="654">
        <f>IF(D312=0,"",IF(AND(D312&lt;0,E312*G312&gt;2),(ABS((2-(G312*E312)))*D312),IF(D312&gt;0,D312*E312*G312,0)))</f>
        <v>1.6800000000000002</v>
      </c>
      <c r="I312" s="655"/>
      <c r="J312" s="656"/>
      <c r="K312" s="609">
        <f>H312</f>
        <v>1.6800000000000002</v>
      </c>
      <c r="L312" s="609" t="str">
        <f>B312</f>
        <v>PM01</v>
      </c>
      <c r="M312" s="603"/>
      <c r="N312" s="577" t="s">
        <v>611</v>
      </c>
      <c r="O312" s="577" t="s">
        <v>611</v>
      </c>
      <c r="P312" s="608" t="s">
        <v>611</v>
      </c>
      <c r="Q312" s="604"/>
      <c r="R312" s="605"/>
      <c r="S312" s="606"/>
      <c r="T312" s="606"/>
      <c r="U312" s="606"/>
      <c r="V312" s="606"/>
      <c r="W312" s="606"/>
      <c r="X312" s="604"/>
      <c r="Y312" s="604"/>
      <c r="Z312" s="604"/>
      <c r="AB312" s="605" t="s">
        <v>668</v>
      </c>
    </row>
    <row r="313" spans="1:28" s="575" customFormat="1" ht="46.5">
      <c r="A313" s="616"/>
      <c r="B313" s="576" t="s">
        <v>962</v>
      </c>
      <c r="C313" s="591"/>
      <c r="D313" s="617"/>
      <c r="E313" s="618"/>
      <c r="F313" s="619"/>
      <c r="G313" s="620"/>
      <c r="H313" s="621"/>
      <c r="I313" s="622"/>
      <c r="J313" s="623"/>
      <c r="K313" s="586"/>
      <c r="L313" s="586" t="str">
        <f t="shared" si="10"/>
        <v>PM03</v>
      </c>
      <c r="M313" s="571"/>
      <c r="N313" s="577" t="s">
        <v>611</v>
      </c>
      <c r="O313" s="577" t="s">
        <v>611</v>
      </c>
      <c r="P313" s="608" t="s">
        <v>611</v>
      </c>
      <c r="Q313" s="572"/>
      <c r="R313" s="573"/>
      <c r="S313" s="574"/>
      <c r="T313" s="574"/>
      <c r="U313" s="574"/>
      <c r="V313" s="574"/>
      <c r="W313" s="574"/>
      <c r="X313" s="572"/>
      <c r="Y313" s="572"/>
      <c r="Z313" s="572"/>
      <c r="AB313" s="573"/>
    </row>
    <row r="314" spans="1:28" s="607" customFormat="1">
      <c r="A314" s="649"/>
      <c r="B314" s="602" t="s">
        <v>834</v>
      </c>
      <c r="C314" s="613"/>
      <c r="D314" s="650">
        <v>1</v>
      </c>
      <c r="E314" s="651">
        <f>VLOOKUP(B314,'[10]auxiliar memoria'!$B$155:$E$302,2,FALSE)</f>
        <v>0.7</v>
      </c>
      <c r="F314" s="652"/>
      <c r="G314" s="653">
        <f>VLOOKUP(B314,'[10]auxiliar memoria'!$B$155:$E$302,3,FALSE)</f>
        <v>2.1</v>
      </c>
      <c r="H314" s="654">
        <f>IF(D314=0,"",IF(AND(D314&lt;0,E314*G314&gt;2),(ABS((2-(G314*E314)))*D314),IF(D314&gt;0,D314*E314*G314,0)))</f>
        <v>1.47</v>
      </c>
      <c r="I314" s="655"/>
      <c r="J314" s="656"/>
      <c r="K314" s="609">
        <f>H314</f>
        <v>1.47</v>
      </c>
      <c r="L314" s="609" t="str">
        <f>B314</f>
        <v>PM03</v>
      </c>
      <c r="M314" s="603"/>
      <c r="N314" s="577" t="s">
        <v>611</v>
      </c>
      <c r="O314" s="577" t="s">
        <v>611</v>
      </c>
      <c r="P314" s="608" t="s">
        <v>611</v>
      </c>
      <c r="Q314" s="604"/>
      <c r="R314" s="605"/>
      <c r="S314" s="606"/>
      <c r="T314" s="606"/>
      <c r="U314" s="606"/>
      <c r="V314" s="606"/>
      <c r="W314" s="606"/>
      <c r="X314" s="604"/>
      <c r="Y314" s="604"/>
      <c r="Z314" s="604"/>
      <c r="AB314" s="605" t="s">
        <v>668</v>
      </c>
    </row>
    <row r="315" spans="1:28" s="575" customFormat="1" ht="46.5">
      <c r="A315" s="616"/>
      <c r="B315" s="576" t="s">
        <v>963</v>
      </c>
      <c r="C315" s="591"/>
      <c r="D315" s="617"/>
      <c r="E315" s="618"/>
      <c r="F315" s="619"/>
      <c r="G315" s="620"/>
      <c r="H315" s="621"/>
      <c r="I315" s="622"/>
      <c r="J315" s="623"/>
      <c r="K315" s="586"/>
      <c r="L315" s="586" t="str">
        <f t="shared" si="10"/>
        <v>PM03</v>
      </c>
      <c r="M315" s="571"/>
      <c r="N315" s="577" t="s">
        <v>611</v>
      </c>
      <c r="O315" s="577" t="s">
        <v>611</v>
      </c>
      <c r="P315" s="608" t="s">
        <v>611</v>
      </c>
      <c r="Q315" s="572"/>
      <c r="R315" s="573"/>
      <c r="S315" s="574"/>
      <c r="T315" s="574"/>
      <c r="U315" s="574"/>
      <c r="V315" s="574"/>
      <c r="W315" s="574"/>
      <c r="X315" s="572"/>
      <c r="Y315" s="572"/>
      <c r="Z315" s="572"/>
      <c r="AB315" s="573"/>
    </row>
    <row r="316" spans="1:28" s="607" customFormat="1" ht="33.75" customHeight="1">
      <c r="A316" s="649"/>
      <c r="B316" s="602" t="s">
        <v>834</v>
      </c>
      <c r="C316" s="613"/>
      <c r="D316" s="650">
        <v>1</v>
      </c>
      <c r="E316" s="651">
        <f>VLOOKUP(B316,'[10]auxiliar memoria'!$B$155:$E$302,2,FALSE)</f>
        <v>0.7</v>
      </c>
      <c r="F316" s="652"/>
      <c r="G316" s="653">
        <f>VLOOKUP(B316,'[10]auxiliar memoria'!$B$155:$E$302,3,FALSE)</f>
        <v>2.1</v>
      </c>
      <c r="H316" s="654">
        <f>IF(D316=0,"",IF(AND(D316&lt;0,E316*G316&gt;2),(ABS((2-(G316*E316)))*D316),IF(D316&gt;0,D316*E316*G316,0)))</f>
        <v>1.47</v>
      </c>
      <c r="I316" s="655"/>
      <c r="J316" s="656"/>
      <c r="K316" s="609">
        <f>H316</f>
        <v>1.47</v>
      </c>
      <c r="L316" s="609" t="str">
        <f>B316</f>
        <v>PM03</v>
      </c>
      <c r="M316" s="603"/>
      <c r="N316" s="577" t="s">
        <v>611</v>
      </c>
      <c r="O316" s="577" t="s">
        <v>611</v>
      </c>
      <c r="P316" s="608" t="s">
        <v>611</v>
      </c>
      <c r="Q316" s="604"/>
      <c r="R316" s="605"/>
      <c r="S316" s="606"/>
      <c r="T316" s="606"/>
      <c r="U316" s="606"/>
      <c r="V316" s="606"/>
      <c r="W316" s="606"/>
      <c r="X316" s="604"/>
      <c r="Y316" s="604"/>
      <c r="Z316" s="604"/>
      <c r="AB316" s="605" t="s">
        <v>668</v>
      </c>
    </row>
    <row r="317" spans="1:28" s="575" customFormat="1">
      <c r="A317" s="616"/>
      <c r="B317" s="576" t="s">
        <v>964</v>
      </c>
      <c r="C317" s="591"/>
      <c r="D317" s="617"/>
      <c r="E317" s="618"/>
      <c r="F317" s="619"/>
      <c r="G317" s="620"/>
      <c r="H317" s="621"/>
      <c r="I317" s="622"/>
      <c r="J317" s="623"/>
      <c r="K317" s="586"/>
      <c r="L317" s="586" t="str">
        <f t="shared" si="10"/>
        <v>PM01</v>
      </c>
      <c r="M317" s="571"/>
      <c r="N317" s="577" t="s">
        <v>611</v>
      </c>
      <c r="O317" s="577" t="s">
        <v>611</v>
      </c>
      <c r="P317" s="608" t="s">
        <v>611</v>
      </c>
      <c r="Q317" s="572"/>
      <c r="R317" s="573"/>
      <c r="S317" s="574"/>
      <c r="T317" s="574"/>
      <c r="U317" s="574"/>
      <c r="V317" s="574"/>
      <c r="W317" s="574"/>
      <c r="X317" s="572"/>
      <c r="Y317" s="572"/>
      <c r="Z317" s="572"/>
      <c r="AB317" s="573"/>
    </row>
    <row r="318" spans="1:28" s="607" customFormat="1">
      <c r="A318" s="649"/>
      <c r="B318" s="602" t="s">
        <v>704</v>
      </c>
      <c r="C318" s="613"/>
      <c r="D318" s="650">
        <v>1</v>
      </c>
      <c r="E318" s="651">
        <f>VLOOKUP(B318,'[10]auxiliar memoria'!$B$155:$E$302,2,FALSE)</f>
        <v>0.8</v>
      </c>
      <c r="F318" s="652"/>
      <c r="G318" s="653">
        <f>VLOOKUP(B318,'[10]auxiliar memoria'!$B$155:$E$302,3,FALSE)</f>
        <v>2.1</v>
      </c>
      <c r="H318" s="654">
        <f>IF(D318=0,"",IF(AND(D318&lt;0,E318*G318&gt;2),(ABS((2-(G318*E318)))*D318),IF(D318&gt;0,D318*E318*G318,0)))</f>
        <v>1.6800000000000002</v>
      </c>
      <c r="I318" s="655"/>
      <c r="J318" s="656"/>
      <c r="K318" s="609">
        <f>H318</f>
        <v>1.6800000000000002</v>
      </c>
      <c r="L318" s="609" t="str">
        <f>B318</f>
        <v>PM01</v>
      </c>
      <c r="M318" s="603"/>
      <c r="N318" s="577" t="s">
        <v>611</v>
      </c>
      <c r="O318" s="577" t="s">
        <v>611</v>
      </c>
      <c r="P318" s="608" t="s">
        <v>611</v>
      </c>
      <c r="Q318" s="604"/>
      <c r="R318" s="605"/>
      <c r="S318" s="606"/>
      <c r="T318" s="606"/>
      <c r="U318" s="606"/>
      <c r="V318" s="606"/>
      <c r="W318" s="606"/>
      <c r="X318" s="604"/>
      <c r="Y318" s="604"/>
      <c r="Z318" s="604"/>
      <c r="AB318" s="605" t="s">
        <v>668</v>
      </c>
    </row>
    <row r="319" spans="1:28" s="575" customFormat="1">
      <c r="A319" s="616"/>
      <c r="B319" s="576" t="s">
        <v>921</v>
      </c>
      <c r="C319" s="591"/>
      <c r="D319" s="617"/>
      <c r="E319" s="618"/>
      <c r="F319" s="619"/>
      <c r="G319" s="620"/>
      <c r="H319" s="621"/>
      <c r="I319" s="622"/>
      <c r="J319" s="623"/>
      <c r="K319" s="586"/>
      <c r="L319" s="586" t="str">
        <f t="shared" si="10"/>
        <v>PM01</v>
      </c>
      <c r="M319" s="571"/>
      <c r="N319" s="577" t="s">
        <v>611</v>
      </c>
      <c r="O319" s="577" t="s">
        <v>611</v>
      </c>
      <c r="P319" s="608" t="s">
        <v>611</v>
      </c>
      <c r="Q319" s="572"/>
      <c r="R319" s="573"/>
      <c r="S319" s="574"/>
      <c r="T319" s="574"/>
      <c r="U319" s="574"/>
      <c r="V319" s="574"/>
      <c r="W319" s="574"/>
      <c r="X319" s="572"/>
      <c r="Y319" s="572"/>
      <c r="Z319" s="572"/>
      <c r="AB319" s="573"/>
    </row>
    <row r="320" spans="1:28" s="607" customFormat="1">
      <c r="A320" s="649"/>
      <c r="B320" s="602" t="s">
        <v>704</v>
      </c>
      <c r="C320" s="613"/>
      <c r="D320" s="650">
        <v>1</v>
      </c>
      <c r="E320" s="651">
        <f>VLOOKUP(B320,'[10]auxiliar memoria'!$B$155:$E$302,2,FALSE)</f>
        <v>0.8</v>
      </c>
      <c r="F320" s="652"/>
      <c r="G320" s="653">
        <f>VLOOKUP(B320,'[10]auxiliar memoria'!$B$155:$E$302,3,FALSE)</f>
        <v>2.1</v>
      </c>
      <c r="H320" s="654">
        <f>IF(D320=0,"",IF(AND(D320&lt;0,E320*G320&gt;2),(ABS((2-(G320*E320)))*D320),IF(D320&gt;0,D320*E320*G320,0)))</f>
        <v>1.6800000000000002</v>
      </c>
      <c r="I320" s="655"/>
      <c r="J320" s="656"/>
      <c r="K320" s="609">
        <f>H320</f>
        <v>1.6800000000000002</v>
      </c>
      <c r="L320" s="609" t="str">
        <f>B320</f>
        <v>PM01</v>
      </c>
      <c r="M320" s="603"/>
      <c r="N320" s="577" t="s">
        <v>611</v>
      </c>
      <c r="O320" s="577" t="s">
        <v>611</v>
      </c>
      <c r="P320" s="608" t="s">
        <v>611</v>
      </c>
      <c r="Q320" s="604"/>
      <c r="R320" s="605"/>
      <c r="S320" s="606"/>
      <c r="T320" s="606"/>
      <c r="U320" s="606"/>
      <c r="V320" s="606"/>
      <c r="W320" s="606"/>
      <c r="X320" s="604"/>
      <c r="Y320" s="604"/>
      <c r="Z320" s="604"/>
      <c r="AB320" s="605" t="s">
        <v>668</v>
      </c>
    </row>
    <row r="321" spans="1:28" s="575" customFormat="1">
      <c r="A321" s="616"/>
      <c r="B321" s="576" t="s">
        <v>802</v>
      </c>
      <c r="C321" s="591"/>
      <c r="D321" s="617"/>
      <c r="E321" s="618"/>
      <c r="F321" s="619"/>
      <c r="G321" s="620"/>
      <c r="H321" s="621"/>
      <c r="I321" s="622"/>
      <c r="J321" s="623"/>
      <c r="K321" s="586"/>
      <c r="L321" s="586" t="str">
        <f t="shared" si="10"/>
        <v>PM01</v>
      </c>
      <c r="M321" s="571"/>
      <c r="N321" s="577" t="s">
        <v>611</v>
      </c>
      <c r="O321" s="577" t="s">
        <v>611</v>
      </c>
      <c r="P321" s="608" t="s">
        <v>611</v>
      </c>
      <c r="Q321" s="572"/>
      <c r="R321" s="573"/>
      <c r="S321" s="574"/>
      <c r="T321" s="574"/>
      <c r="U321" s="574"/>
      <c r="V321" s="574"/>
      <c r="W321" s="574"/>
      <c r="X321" s="572"/>
      <c r="Y321" s="572"/>
      <c r="Z321" s="572"/>
      <c r="AB321" s="573"/>
    </row>
    <row r="322" spans="1:28" s="607" customFormat="1">
      <c r="A322" s="649"/>
      <c r="B322" s="602" t="s">
        <v>704</v>
      </c>
      <c r="C322" s="613"/>
      <c r="D322" s="650">
        <v>1</v>
      </c>
      <c r="E322" s="651">
        <f>VLOOKUP(B322,'[10]auxiliar memoria'!$B$155:$E$302,2,FALSE)</f>
        <v>0.8</v>
      </c>
      <c r="F322" s="652"/>
      <c r="G322" s="653">
        <f>VLOOKUP(B322,'[10]auxiliar memoria'!$B$155:$E$302,3,FALSE)</f>
        <v>2.1</v>
      </c>
      <c r="H322" s="654">
        <f>IF(D322=0,"",IF(AND(D322&lt;0,E322*G322&gt;2),(ABS((2-(G322*E322)))*D322),IF(D322&gt;0,D322*E322*G322,0)))</f>
        <v>1.6800000000000002</v>
      </c>
      <c r="I322" s="655"/>
      <c r="J322" s="656"/>
      <c r="K322" s="609">
        <f>H322</f>
        <v>1.6800000000000002</v>
      </c>
      <c r="L322" s="609" t="str">
        <f>B322</f>
        <v>PM01</v>
      </c>
      <c r="M322" s="603"/>
      <c r="N322" s="577" t="s">
        <v>611</v>
      </c>
      <c r="O322" s="577" t="s">
        <v>611</v>
      </c>
      <c r="P322" s="608" t="s">
        <v>611</v>
      </c>
      <c r="Q322" s="604"/>
      <c r="R322" s="605"/>
      <c r="S322" s="606"/>
      <c r="T322" s="606"/>
      <c r="U322" s="606"/>
      <c r="V322" s="606"/>
      <c r="W322" s="606"/>
      <c r="X322" s="604"/>
      <c r="Y322" s="604"/>
      <c r="Z322" s="604"/>
      <c r="AB322" s="605" t="s">
        <v>668</v>
      </c>
    </row>
    <row r="323" spans="1:28" s="575" customFormat="1">
      <c r="A323" s="616"/>
      <c r="B323" s="576" t="s">
        <v>965</v>
      </c>
      <c r="C323" s="591"/>
      <c r="D323" s="617"/>
      <c r="E323" s="618"/>
      <c r="F323" s="619"/>
      <c r="G323" s="620"/>
      <c r="H323" s="621"/>
      <c r="I323" s="622"/>
      <c r="J323" s="623"/>
      <c r="K323" s="586"/>
      <c r="L323" s="586" t="str">
        <f t="shared" si="10"/>
        <v>PM03</v>
      </c>
      <c r="M323" s="571"/>
      <c r="N323" s="577" t="s">
        <v>611</v>
      </c>
      <c r="O323" s="577" t="s">
        <v>611</v>
      </c>
      <c r="P323" s="608" t="s">
        <v>611</v>
      </c>
      <c r="Q323" s="572"/>
      <c r="R323" s="573"/>
      <c r="S323" s="574"/>
      <c r="T323" s="574"/>
      <c r="U323" s="574"/>
      <c r="V323" s="574"/>
      <c r="W323" s="574"/>
      <c r="X323" s="572"/>
      <c r="Y323" s="572"/>
      <c r="Z323" s="572"/>
      <c r="AB323" s="573"/>
    </row>
    <row r="324" spans="1:28" s="607" customFormat="1">
      <c r="A324" s="649"/>
      <c r="B324" s="602" t="s">
        <v>834</v>
      </c>
      <c r="C324" s="613"/>
      <c r="D324" s="650">
        <v>1</v>
      </c>
      <c r="E324" s="651">
        <f>VLOOKUP(B324,'[10]auxiliar memoria'!$B$155:$E$302,2,FALSE)</f>
        <v>0.7</v>
      </c>
      <c r="F324" s="652"/>
      <c r="G324" s="653">
        <f>VLOOKUP(B324,'[10]auxiliar memoria'!$B$155:$E$302,3,FALSE)</f>
        <v>2.1</v>
      </c>
      <c r="H324" s="654">
        <f>IF(D324=0,"",IF(AND(D324&lt;0,E324*G324&gt;2),(ABS((2-(G324*E324)))*D324),IF(D324&gt;0,D324*E324*G324,0)))</f>
        <v>1.47</v>
      </c>
      <c r="I324" s="655"/>
      <c r="J324" s="656"/>
      <c r="K324" s="609">
        <f>H324</f>
        <v>1.47</v>
      </c>
      <c r="L324" s="609" t="str">
        <f>B324</f>
        <v>PM03</v>
      </c>
      <c r="M324" s="603"/>
      <c r="N324" s="577" t="s">
        <v>611</v>
      </c>
      <c r="O324" s="577" t="s">
        <v>611</v>
      </c>
      <c r="P324" s="608" t="s">
        <v>611</v>
      </c>
      <c r="Q324" s="604"/>
      <c r="R324" s="605"/>
      <c r="S324" s="606"/>
      <c r="T324" s="606"/>
      <c r="U324" s="606"/>
      <c r="V324" s="606"/>
      <c r="W324" s="606"/>
      <c r="X324" s="604"/>
      <c r="Y324" s="604"/>
      <c r="Z324" s="604"/>
      <c r="AB324" s="605" t="s">
        <v>668</v>
      </c>
    </row>
    <row r="325" spans="1:28" s="575" customFormat="1">
      <c r="A325" s="616"/>
      <c r="B325" s="576" t="s">
        <v>966</v>
      </c>
      <c r="C325" s="591"/>
      <c r="D325" s="617"/>
      <c r="E325" s="618"/>
      <c r="F325" s="619"/>
      <c r="G325" s="620"/>
      <c r="H325" s="621"/>
      <c r="I325" s="622"/>
      <c r="J325" s="623"/>
      <c r="K325" s="586"/>
      <c r="L325" s="586" t="str">
        <f t="shared" si="10"/>
        <v>PM01</v>
      </c>
      <c r="M325" s="571"/>
      <c r="N325" s="577" t="s">
        <v>611</v>
      </c>
      <c r="O325" s="577" t="s">
        <v>611</v>
      </c>
      <c r="P325" s="608" t="s">
        <v>611</v>
      </c>
      <c r="Q325" s="572"/>
      <c r="R325" s="573"/>
      <c r="S325" s="574"/>
      <c r="T325" s="574"/>
      <c r="U325" s="574"/>
      <c r="V325" s="574"/>
      <c r="W325" s="574"/>
      <c r="X325" s="572"/>
      <c r="Y325" s="572"/>
      <c r="Z325" s="572"/>
      <c r="AB325" s="573"/>
    </row>
    <row r="326" spans="1:28" s="607" customFormat="1">
      <c r="A326" s="649"/>
      <c r="B326" s="602" t="s">
        <v>704</v>
      </c>
      <c r="C326" s="613"/>
      <c r="D326" s="650">
        <v>1</v>
      </c>
      <c r="E326" s="651">
        <f>VLOOKUP(B326,'[10]auxiliar memoria'!$B$155:$E$302,2,FALSE)</f>
        <v>0.8</v>
      </c>
      <c r="F326" s="652"/>
      <c r="G326" s="653">
        <f>VLOOKUP(B326,'[10]auxiliar memoria'!$B$155:$E$302,3,FALSE)</f>
        <v>2.1</v>
      </c>
      <c r="H326" s="654">
        <f>IF(D326=0,"",IF(AND(D326&lt;0,E326*G326&gt;2),(ABS((2-(G326*E326)))*D326),IF(D326&gt;0,D326*E326*G326,0)))</f>
        <v>1.6800000000000002</v>
      </c>
      <c r="I326" s="655"/>
      <c r="J326" s="656"/>
      <c r="K326" s="609">
        <f>H326</f>
        <v>1.6800000000000002</v>
      </c>
      <c r="L326" s="609" t="str">
        <f>B326</f>
        <v>PM01</v>
      </c>
      <c r="M326" s="603"/>
      <c r="N326" s="577" t="s">
        <v>611</v>
      </c>
      <c r="O326" s="577" t="s">
        <v>611</v>
      </c>
      <c r="P326" s="608" t="s">
        <v>611</v>
      </c>
      <c r="Q326" s="604"/>
      <c r="R326" s="605"/>
      <c r="S326" s="606"/>
      <c r="T326" s="606"/>
      <c r="U326" s="606"/>
      <c r="V326" s="606"/>
      <c r="W326" s="606"/>
      <c r="X326" s="604"/>
      <c r="Y326" s="604"/>
      <c r="Z326" s="604"/>
      <c r="AB326" s="605" t="s">
        <v>668</v>
      </c>
    </row>
    <row r="327" spans="1:28" s="575" customFormat="1">
      <c r="A327" s="616"/>
      <c r="B327" s="576" t="s">
        <v>967</v>
      </c>
      <c r="C327" s="591"/>
      <c r="D327" s="617"/>
      <c r="E327" s="618"/>
      <c r="F327" s="619"/>
      <c r="G327" s="620"/>
      <c r="H327" s="621"/>
      <c r="I327" s="622"/>
      <c r="J327" s="623"/>
      <c r="K327" s="586"/>
      <c r="L327" s="586" t="str">
        <f t="shared" si="10"/>
        <v>PM01</v>
      </c>
      <c r="M327" s="571"/>
      <c r="N327" s="577" t="s">
        <v>611</v>
      </c>
      <c r="O327" s="577" t="s">
        <v>611</v>
      </c>
      <c r="P327" s="608" t="s">
        <v>611</v>
      </c>
      <c r="Q327" s="572"/>
      <c r="R327" s="573"/>
      <c r="S327" s="574"/>
      <c r="T327" s="574"/>
      <c r="U327" s="574"/>
      <c r="V327" s="574"/>
      <c r="W327" s="574"/>
      <c r="X327" s="572"/>
      <c r="Y327" s="572"/>
      <c r="Z327" s="572"/>
      <c r="AB327" s="573"/>
    </row>
    <row r="328" spans="1:28" s="607" customFormat="1">
      <c r="A328" s="649"/>
      <c r="B328" s="602" t="s">
        <v>704</v>
      </c>
      <c r="C328" s="613"/>
      <c r="D328" s="650">
        <v>1</v>
      </c>
      <c r="E328" s="651">
        <f>VLOOKUP(B328,'[10]auxiliar memoria'!$B$155:$E$302,2,FALSE)</f>
        <v>0.8</v>
      </c>
      <c r="F328" s="652"/>
      <c r="G328" s="653">
        <f>VLOOKUP(B328,'[10]auxiliar memoria'!$B$155:$E$302,3,FALSE)</f>
        <v>2.1</v>
      </c>
      <c r="H328" s="654">
        <f>IF(D328=0,"",IF(AND(D328&lt;0,E328*G328&gt;2),(ABS((2-(G328*E328)))*D328),IF(D328&gt;0,D328*E328*G328,0)))</f>
        <v>1.6800000000000002</v>
      </c>
      <c r="I328" s="655"/>
      <c r="J328" s="656"/>
      <c r="K328" s="609">
        <f>H328</f>
        <v>1.6800000000000002</v>
      </c>
      <c r="L328" s="609" t="str">
        <f>B328</f>
        <v>PM01</v>
      </c>
      <c r="M328" s="603"/>
      <c r="N328" s="577" t="s">
        <v>611</v>
      </c>
      <c r="O328" s="577" t="s">
        <v>611</v>
      </c>
      <c r="P328" s="608" t="s">
        <v>611</v>
      </c>
      <c r="Q328" s="604"/>
      <c r="R328" s="605"/>
      <c r="S328" s="606"/>
      <c r="T328" s="606"/>
      <c r="U328" s="606"/>
      <c r="V328" s="606"/>
      <c r="W328" s="606"/>
      <c r="X328" s="604"/>
      <c r="Y328" s="604"/>
      <c r="Z328" s="604"/>
      <c r="AB328" s="605" t="s">
        <v>668</v>
      </c>
    </row>
    <row r="329" spans="1:28" s="575" customFormat="1">
      <c r="A329" s="616"/>
      <c r="B329" s="576" t="s">
        <v>968</v>
      </c>
      <c r="C329" s="591"/>
      <c r="D329" s="617"/>
      <c r="E329" s="618"/>
      <c r="F329" s="619"/>
      <c r="G329" s="620"/>
      <c r="H329" s="621"/>
      <c r="I329" s="622"/>
      <c r="J329" s="623"/>
      <c r="K329" s="586"/>
      <c r="L329" s="586" t="str">
        <f t="shared" si="10"/>
        <v>PM01</v>
      </c>
      <c r="M329" s="571"/>
      <c r="N329" s="577" t="s">
        <v>611</v>
      </c>
      <c r="O329" s="577" t="s">
        <v>611</v>
      </c>
      <c r="P329" s="608" t="s">
        <v>611</v>
      </c>
      <c r="Q329" s="572"/>
      <c r="R329" s="573"/>
      <c r="S329" s="574"/>
      <c r="T329" s="574"/>
      <c r="U329" s="574"/>
      <c r="V329" s="574"/>
      <c r="W329" s="574"/>
      <c r="X329" s="572"/>
      <c r="Y329" s="572"/>
      <c r="Z329" s="572"/>
      <c r="AB329" s="573"/>
    </row>
    <row r="330" spans="1:28" s="607" customFormat="1">
      <c r="A330" s="649"/>
      <c r="B330" s="602" t="s">
        <v>704</v>
      </c>
      <c r="C330" s="613"/>
      <c r="D330" s="650">
        <v>1</v>
      </c>
      <c r="E330" s="651">
        <f>VLOOKUP(B330,'[10]auxiliar memoria'!$B$155:$E$302,2,FALSE)</f>
        <v>0.8</v>
      </c>
      <c r="F330" s="652"/>
      <c r="G330" s="653">
        <f>VLOOKUP(B330,'[10]auxiliar memoria'!$B$155:$E$302,3,FALSE)</f>
        <v>2.1</v>
      </c>
      <c r="H330" s="654">
        <f>IF(D330=0,"",IF(AND(D330&lt;0,E330*G330&gt;2),(ABS((2-(G330*E330)))*D330),IF(D330&gt;0,D330*E330*G330,0)))</f>
        <v>1.6800000000000002</v>
      </c>
      <c r="I330" s="655"/>
      <c r="J330" s="656"/>
      <c r="K330" s="609">
        <f>H330</f>
        <v>1.6800000000000002</v>
      </c>
      <c r="L330" s="609" t="str">
        <f>B330</f>
        <v>PM01</v>
      </c>
      <c r="M330" s="603"/>
      <c r="N330" s="577" t="s">
        <v>611</v>
      </c>
      <c r="O330" s="577" t="s">
        <v>611</v>
      </c>
      <c r="P330" s="608" t="s">
        <v>611</v>
      </c>
      <c r="Q330" s="604"/>
      <c r="R330" s="605"/>
      <c r="S330" s="606"/>
      <c r="T330" s="606"/>
      <c r="U330" s="606"/>
      <c r="V330" s="606"/>
      <c r="W330" s="606"/>
      <c r="X330" s="604"/>
      <c r="Y330" s="604"/>
      <c r="Z330" s="604"/>
      <c r="AB330" s="605" t="s">
        <v>668</v>
      </c>
    </row>
    <row r="331" spans="1:28" s="575" customFormat="1">
      <c r="A331" s="616"/>
      <c r="B331" s="576" t="s">
        <v>925</v>
      </c>
      <c r="C331" s="591"/>
      <c r="D331" s="617"/>
      <c r="E331" s="618"/>
      <c r="F331" s="619"/>
      <c r="G331" s="620"/>
      <c r="H331" s="621"/>
      <c r="I331" s="622"/>
      <c r="J331" s="623"/>
      <c r="K331" s="586"/>
      <c r="L331" s="586" t="str">
        <f t="shared" si="10"/>
        <v>PM01</v>
      </c>
      <c r="M331" s="571"/>
      <c r="N331" s="577" t="s">
        <v>611</v>
      </c>
      <c r="O331" s="577" t="s">
        <v>611</v>
      </c>
      <c r="P331" s="608" t="s">
        <v>611</v>
      </c>
      <c r="Q331" s="572"/>
      <c r="R331" s="573"/>
      <c r="S331" s="574"/>
      <c r="T331" s="574"/>
      <c r="U331" s="574"/>
      <c r="V331" s="574"/>
      <c r="W331" s="574"/>
      <c r="X331" s="572"/>
      <c r="Y331" s="572"/>
      <c r="Z331" s="572"/>
      <c r="AB331" s="573"/>
    </row>
    <row r="332" spans="1:28" s="607" customFormat="1">
      <c r="A332" s="649"/>
      <c r="B332" s="602" t="s">
        <v>704</v>
      </c>
      <c r="C332" s="613"/>
      <c r="D332" s="650">
        <v>1</v>
      </c>
      <c r="E332" s="651">
        <f>VLOOKUP(B332,'[10]auxiliar memoria'!$B$155:$E$302,2,FALSE)</f>
        <v>0.8</v>
      </c>
      <c r="F332" s="652"/>
      <c r="G332" s="653">
        <f>VLOOKUP(B332,'[10]auxiliar memoria'!$B$155:$E$302,3,FALSE)</f>
        <v>2.1</v>
      </c>
      <c r="H332" s="654">
        <f>IF(D332=0,"",IF(AND(D332&lt;0,E332*G332&gt;2),(ABS((2-(G332*E332)))*D332),IF(D332&gt;0,D332*E332*G332,0)))</f>
        <v>1.6800000000000002</v>
      </c>
      <c r="I332" s="655"/>
      <c r="J332" s="656"/>
      <c r="K332" s="609">
        <f>H332</f>
        <v>1.6800000000000002</v>
      </c>
      <c r="L332" s="609" t="str">
        <f>B332</f>
        <v>PM01</v>
      </c>
      <c r="M332" s="603"/>
      <c r="N332" s="577" t="s">
        <v>611</v>
      </c>
      <c r="O332" s="577" t="s">
        <v>611</v>
      </c>
      <c r="P332" s="608" t="s">
        <v>611</v>
      </c>
      <c r="Q332" s="604"/>
      <c r="R332" s="605"/>
      <c r="S332" s="606"/>
      <c r="T332" s="606"/>
      <c r="U332" s="606"/>
      <c r="V332" s="606"/>
      <c r="W332" s="606"/>
      <c r="X332" s="604"/>
      <c r="Y332" s="604"/>
      <c r="Z332" s="604"/>
      <c r="AB332" s="605" t="s">
        <v>668</v>
      </c>
    </row>
    <row r="333" spans="1:28" s="575" customFormat="1">
      <c r="A333" s="616"/>
      <c r="B333" s="576" t="s">
        <v>969</v>
      </c>
      <c r="C333" s="591"/>
      <c r="D333" s="617"/>
      <c r="E333" s="618"/>
      <c r="F333" s="619"/>
      <c r="G333" s="620"/>
      <c r="H333" s="621"/>
      <c r="I333" s="622"/>
      <c r="J333" s="623"/>
      <c r="K333" s="586"/>
      <c r="L333" s="586" t="str">
        <f t="shared" si="10"/>
        <v>PM01</v>
      </c>
      <c r="M333" s="571"/>
      <c r="N333" s="577" t="s">
        <v>611</v>
      </c>
      <c r="O333" s="577" t="s">
        <v>611</v>
      </c>
      <c r="P333" s="608" t="s">
        <v>611</v>
      </c>
      <c r="Q333" s="572"/>
      <c r="R333" s="573"/>
      <c r="S333" s="574"/>
      <c r="T333" s="574"/>
      <c r="U333" s="574"/>
      <c r="V333" s="574"/>
      <c r="W333" s="574"/>
      <c r="X333" s="572"/>
      <c r="Y333" s="572"/>
      <c r="Z333" s="572"/>
      <c r="AB333" s="573"/>
    </row>
    <row r="334" spans="1:28" s="607" customFormat="1">
      <c r="A334" s="649"/>
      <c r="B334" s="602" t="s">
        <v>704</v>
      </c>
      <c r="C334" s="613"/>
      <c r="D334" s="650">
        <v>1</v>
      </c>
      <c r="E334" s="651">
        <f>VLOOKUP(B334,'[10]auxiliar memoria'!$B$155:$E$302,2,FALSE)</f>
        <v>0.8</v>
      </c>
      <c r="F334" s="652"/>
      <c r="G334" s="653">
        <f>VLOOKUP(B334,'[10]auxiliar memoria'!$B$155:$E$302,3,FALSE)</f>
        <v>2.1</v>
      </c>
      <c r="H334" s="654">
        <f>IF(D334=0,"",IF(AND(D334&lt;0,E334*G334&gt;2),(ABS((2-(G334*E334)))*D334),IF(D334&gt;0,D334*E334*G334,0)))</f>
        <v>1.6800000000000002</v>
      </c>
      <c r="I334" s="655"/>
      <c r="J334" s="656"/>
      <c r="K334" s="609">
        <f>H334</f>
        <v>1.6800000000000002</v>
      </c>
      <c r="L334" s="609" t="str">
        <f>B334</f>
        <v>PM01</v>
      </c>
      <c r="M334" s="603"/>
      <c r="N334" s="577" t="s">
        <v>611</v>
      </c>
      <c r="O334" s="577" t="s">
        <v>611</v>
      </c>
      <c r="P334" s="608" t="s">
        <v>611</v>
      </c>
      <c r="Q334" s="604"/>
      <c r="R334" s="605"/>
      <c r="S334" s="606"/>
      <c r="T334" s="606"/>
      <c r="U334" s="606"/>
      <c r="V334" s="606"/>
      <c r="W334" s="606"/>
      <c r="X334" s="604"/>
      <c r="Y334" s="604"/>
      <c r="Z334" s="604"/>
      <c r="AB334" s="605" t="s">
        <v>668</v>
      </c>
    </row>
    <row r="335" spans="1:28" s="575" customFormat="1">
      <c r="A335" s="616"/>
      <c r="B335" s="576" t="s">
        <v>941</v>
      </c>
      <c r="C335" s="591"/>
      <c r="D335" s="617"/>
      <c r="E335" s="618"/>
      <c r="F335" s="619"/>
      <c r="G335" s="620"/>
      <c r="H335" s="621"/>
      <c r="I335" s="622"/>
      <c r="J335" s="623"/>
      <c r="K335" s="586"/>
      <c r="L335" s="586" t="str">
        <f t="shared" si="10"/>
        <v>PM01</v>
      </c>
      <c r="M335" s="571"/>
      <c r="N335" s="577" t="s">
        <v>611</v>
      </c>
      <c r="O335" s="577" t="s">
        <v>611</v>
      </c>
      <c r="P335" s="608" t="s">
        <v>611</v>
      </c>
      <c r="Q335" s="572"/>
      <c r="R335" s="573"/>
      <c r="S335" s="574"/>
      <c r="T335" s="574"/>
      <c r="U335" s="574"/>
      <c r="V335" s="574"/>
      <c r="W335" s="574"/>
      <c r="X335" s="572"/>
      <c r="Y335" s="572"/>
      <c r="Z335" s="572"/>
      <c r="AB335" s="573"/>
    </row>
    <row r="336" spans="1:28" s="607" customFormat="1">
      <c r="A336" s="649"/>
      <c r="B336" s="602" t="s">
        <v>704</v>
      </c>
      <c r="C336" s="613"/>
      <c r="D336" s="650">
        <v>1</v>
      </c>
      <c r="E336" s="651">
        <f>VLOOKUP(B336,'[10]auxiliar memoria'!$B$155:$E$302,2,FALSE)</f>
        <v>0.8</v>
      </c>
      <c r="F336" s="652"/>
      <c r="G336" s="653">
        <f>VLOOKUP(B336,'[10]auxiliar memoria'!$B$155:$E$302,3,FALSE)</f>
        <v>2.1</v>
      </c>
      <c r="H336" s="654">
        <f>IF(D336=0,"",IF(AND(D336&lt;0,E336*G336&gt;2),(ABS((2-(G336*E336)))*D336),IF(D336&gt;0,D336*E336*G336,0)))</f>
        <v>1.6800000000000002</v>
      </c>
      <c r="I336" s="655"/>
      <c r="J336" s="656"/>
      <c r="K336" s="609">
        <f>H336</f>
        <v>1.6800000000000002</v>
      </c>
      <c r="L336" s="609" t="str">
        <f>B336</f>
        <v>PM01</v>
      </c>
      <c r="M336" s="603"/>
      <c r="N336" s="577" t="s">
        <v>611</v>
      </c>
      <c r="O336" s="577" t="s">
        <v>611</v>
      </c>
      <c r="P336" s="608" t="s">
        <v>611</v>
      </c>
      <c r="Q336" s="604"/>
      <c r="R336" s="605"/>
      <c r="S336" s="606"/>
      <c r="T336" s="606"/>
      <c r="U336" s="606"/>
      <c r="V336" s="606"/>
      <c r="W336" s="606"/>
      <c r="X336" s="604"/>
      <c r="Y336" s="604"/>
      <c r="Z336" s="604"/>
      <c r="AB336" s="605" t="s">
        <v>668</v>
      </c>
    </row>
    <row r="337" spans="1:28" s="575" customFormat="1">
      <c r="A337" s="616"/>
      <c r="B337" s="576" t="s">
        <v>970</v>
      </c>
      <c r="C337" s="591"/>
      <c r="D337" s="617"/>
      <c r="E337" s="618"/>
      <c r="F337" s="619"/>
      <c r="G337" s="620"/>
      <c r="H337" s="621"/>
      <c r="I337" s="622"/>
      <c r="J337" s="623"/>
      <c r="K337" s="586"/>
      <c r="L337" s="586" t="str">
        <f t="shared" si="10"/>
        <v>PM01</v>
      </c>
      <c r="M337" s="571"/>
      <c r="N337" s="577" t="s">
        <v>611</v>
      </c>
      <c r="O337" s="577" t="s">
        <v>611</v>
      </c>
      <c r="P337" s="608" t="s">
        <v>611</v>
      </c>
      <c r="Q337" s="572"/>
      <c r="R337" s="573"/>
      <c r="S337" s="574"/>
      <c r="T337" s="574"/>
      <c r="U337" s="574"/>
      <c r="V337" s="574"/>
      <c r="W337" s="574"/>
      <c r="X337" s="572"/>
      <c r="Y337" s="572"/>
      <c r="Z337" s="572"/>
      <c r="AB337" s="573"/>
    </row>
    <row r="338" spans="1:28" s="607" customFormat="1">
      <c r="A338" s="649"/>
      <c r="B338" s="602" t="s">
        <v>704</v>
      </c>
      <c r="C338" s="613"/>
      <c r="D338" s="650">
        <v>1</v>
      </c>
      <c r="E338" s="651">
        <f>VLOOKUP(B338,'[10]auxiliar memoria'!$B$155:$E$302,2,FALSE)</f>
        <v>0.8</v>
      </c>
      <c r="F338" s="652"/>
      <c r="G338" s="653">
        <f>VLOOKUP(B338,'[10]auxiliar memoria'!$B$155:$E$302,3,FALSE)</f>
        <v>2.1</v>
      </c>
      <c r="H338" s="654">
        <f>IF(D338=0,"",IF(AND(D338&lt;0,E338*G338&gt;2),(ABS((2-(G338*E338)))*D338),IF(D338&gt;0,D338*E338*G338,0)))</f>
        <v>1.6800000000000002</v>
      </c>
      <c r="I338" s="655"/>
      <c r="J338" s="656"/>
      <c r="K338" s="609">
        <f>H338</f>
        <v>1.6800000000000002</v>
      </c>
      <c r="L338" s="609" t="str">
        <f>B338</f>
        <v>PM01</v>
      </c>
      <c r="M338" s="603"/>
      <c r="N338" s="577" t="s">
        <v>611</v>
      </c>
      <c r="O338" s="577" t="s">
        <v>611</v>
      </c>
      <c r="P338" s="608" t="s">
        <v>611</v>
      </c>
      <c r="Q338" s="604"/>
      <c r="R338" s="605"/>
      <c r="S338" s="606"/>
      <c r="T338" s="606"/>
      <c r="U338" s="606"/>
      <c r="V338" s="606"/>
      <c r="W338" s="606"/>
      <c r="X338" s="604"/>
      <c r="Y338" s="604"/>
      <c r="Z338" s="604"/>
      <c r="AB338" s="605" t="s">
        <v>668</v>
      </c>
    </row>
    <row r="339" spans="1:28" s="575" customFormat="1">
      <c r="A339" s="616"/>
      <c r="B339" s="576" t="s">
        <v>971</v>
      </c>
      <c r="C339" s="591"/>
      <c r="D339" s="617"/>
      <c r="E339" s="618"/>
      <c r="F339" s="619"/>
      <c r="G339" s="620"/>
      <c r="H339" s="621"/>
      <c r="I339" s="622"/>
      <c r="J339" s="623"/>
      <c r="K339" s="586"/>
      <c r="L339" s="586" t="str">
        <f t="shared" si="10"/>
        <v>PM03</v>
      </c>
      <c r="M339" s="571"/>
      <c r="N339" s="577" t="s">
        <v>611</v>
      </c>
      <c r="O339" s="577" t="s">
        <v>611</v>
      </c>
      <c r="P339" s="608" t="s">
        <v>611</v>
      </c>
      <c r="Q339" s="572"/>
      <c r="R339" s="573"/>
      <c r="S339" s="574"/>
      <c r="T339" s="574"/>
      <c r="U339" s="574"/>
      <c r="V339" s="574"/>
      <c r="W339" s="574"/>
      <c r="X339" s="572"/>
      <c r="Y339" s="572"/>
      <c r="Z339" s="572"/>
      <c r="AB339" s="573"/>
    </row>
    <row r="340" spans="1:28" s="607" customFormat="1">
      <c r="A340" s="649"/>
      <c r="B340" s="602" t="s">
        <v>834</v>
      </c>
      <c r="C340" s="613"/>
      <c r="D340" s="650">
        <v>1</v>
      </c>
      <c r="E340" s="651">
        <f>VLOOKUP(B340,'[10]auxiliar memoria'!$B$155:$E$302,2,FALSE)</f>
        <v>0.7</v>
      </c>
      <c r="F340" s="652"/>
      <c r="G340" s="653">
        <f>VLOOKUP(B340,'[10]auxiliar memoria'!$B$155:$E$302,3,FALSE)</f>
        <v>2.1</v>
      </c>
      <c r="H340" s="654">
        <f>IF(D340=0,"",IF(AND(D340&lt;0,E340*G340&gt;2),(ABS((2-(G340*E340)))*D340),IF(D340&gt;0,D340*E340*G340,0)))</f>
        <v>1.47</v>
      </c>
      <c r="I340" s="655"/>
      <c r="J340" s="656"/>
      <c r="K340" s="609">
        <f>H340</f>
        <v>1.47</v>
      </c>
      <c r="L340" s="609" t="str">
        <f>B340</f>
        <v>PM03</v>
      </c>
      <c r="M340" s="603"/>
      <c r="N340" s="577" t="s">
        <v>611</v>
      </c>
      <c r="O340" s="577" t="s">
        <v>611</v>
      </c>
      <c r="P340" s="608" t="s">
        <v>611</v>
      </c>
      <c r="Q340" s="604"/>
      <c r="R340" s="605"/>
      <c r="S340" s="606"/>
      <c r="T340" s="606"/>
      <c r="U340" s="606"/>
      <c r="V340" s="606"/>
      <c r="W340" s="606"/>
      <c r="X340" s="604"/>
      <c r="Y340" s="604"/>
      <c r="Z340" s="604"/>
      <c r="AB340" s="605" t="s">
        <v>668</v>
      </c>
    </row>
    <row r="341" spans="1:28" s="575" customFormat="1">
      <c r="A341" s="616"/>
      <c r="B341" s="576" t="s">
        <v>972</v>
      </c>
      <c r="C341" s="591"/>
      <c r="D341" s="617"/>
      <c r="E341" s="618"/>
      <c r="F341" s="619"/>
      <c r="G341" s="620"/>
      <c r="H341" s="621"/>
      <c r="I341" s="622"/>
      <c r="J341" s="623"/>
      <c r="K341" s="586"/>
      <c r="L341" s="586" t="str">
        <f t="shared" si="10"/>
        <v>PM01</v>
      </c>
      <c r="M341" s="571"/>
      <c r="N341" s="577" t="s">
        <v>611</v>
      </c>
      <c r="O341" s="577" t="s">
        <v>611</v>
      </c>
      <c r="P341" s="608" t="s">
        <v>611</v>
      </c>
      <c r="Q341" s="572"/>
      <c r="R341" s="573"/>
      <c r="S341" s="574"/>
      <c r="T341" s="574"/>
      <c r="U341" s="574"/>
      <c r="V341" s="574"/>
      <c r="W341" s="574"/>
      <c r="X341" s="572"/>
      <c r="Y341" s="572"/>
      <c r="Z341" s="572"/>
      <c r="AB341" s="573"/>
    </row>
    <row r="342" spans="1:28" s="607" customFormat="1">
      <c r="A342" s="649"/>
      <c r="B342" s="602" t="s">
        <v>704</v>
      </c>
      <c r="C342" s="613"/>
      <c r="D342" s="650">
        <v>1</v>
      </c>
      <c r="E342" s="651">
        <f>VLOOKUP(B342,'[10]auxiliar memoria'!$B$155:$E$302,2,FALSE)</f>
        <v>0.8</v>
      </c>
      <c r="F342" s="652"/>
      <c r="G342" s="653">
        <f>VLOOKUP(B342,'[10]auxiliar memoria'!$B$155:$E$302,3,FALSE)</f>
        <v>2.1</v>
      </c>
      <c r="H342" s="654">
        <f>IF(D342=0,"",IF(AND(D342&lt;0,E342*G342&gt;2),(ABS((2-(G342*E342)))*D342),IF(D342&gt;0,D342*E342*G342,0)))</f>
        <v>1.6800000000000002</v>
      </c>
      <c r="I342" s="655"/>
      <c r="J342" s="656"/>
      <c r="K342" s="609">
        <f>H342</f>
        <v>1.6800000000000002</v>
      </c>
      <c r="L342" s="609" t="str">
        <f>B342</f>
        <v>PM01</v>
      </c>
      <c r="M342" s="603"/>
      <c r="N342" s="577" t="s">
        <v>611</v>
      </c>
      <c r="O342" s="577" t="s">
        <v>611</v>
      </c>
      <c r="P342" s="608" t="s">
        <v>611</v>
      </c>
      <c r="Q342" s="604"/>
      <c r="R342" s="605"/>
      <c r="S342" s="606"/>
      <c r="T342" s="606"/>
      <c r="U342" s="606"/>
      <c r="V342" s="606"/>
      <c r="W342" s="606"/>
      <c r="X342" s="604"/>
      <c r="Y342" s="604"/>
      <c r="Z342" s="604"/>
      <c r="AB342" s="605" t="s">
        <v>668</v>
      </c>
    </row>
    <row r="343" spans="1:28" s="575" customFormat="1">
      <c r="A343" s="616"/>
      <c r="B343" s="576" t="s">
        <v>973</v>
      </c>
      <c r="C343" s="591"/>
      <c r="D343" s="617"/>
      <c r="E343" s="618"/>
      <c r="F343" s="619"/>
      <c r="G343" s="620"/>
      <c r="H343" s="621"/>
      <c r="I343" s="622"/>
      <c r="J343" s="623"/>
      <c r="K343" s="586"/>
      <c r="L343" s="586" t="str">
        <f t="shared" si="10"/>
        <v>PM01</v>
      </c>
      <c r="M343" s="571"/>
      <c r="N343" s="577" t="s">
        <v>611</v>
      </c>
      <c r="O343" s="577" t="s">
        <v>611</v>
      </c>
      <c r="P343" s="608" t="s">
        <v>611</v>
      </c>
      <c r="Q343" s="572"/>
      <c r="R343" s="573"/>
      <c r="S343" s="574"/>
      <c r="T343" s="574"/>
      <c r="U343" s="574"/>
      <c r="V343" s="574"/>
      <c r="W343" s="574"/>
      <c r="X343" s="572"/>
      <c r="Y343" s="572"/>
      <c r="Z343" s="572"/>
      <c r="AB343" s="573"/>
    </row>
    <row r="344" spans="1:28" s="607" customFormat="1">
      <c r="A344" s="649"/>
      <c r="B344" s="602" t="s">
        <v>704</v>
      </c>
      <c r="C344" s="613"/>
      <c r="D344" s="650">
        <v>1</v>
      </c>
      <c r="E344" s="651">
        <f>VLOOKUP(B344,'[10]auxiliar memoria'!$B$155:$E$302,2,FALSE)</f>
        <v>0.8</v>
      </c>
      <c r="F344" s="652"/>
      <c r="G344" s="653">
        <f>VLOOKUP(B344,'[10]auxiliar memoria'!$B$155:$E$302,3,FALSE)</f>
        <v>2.1</v>
      </c>
      <c r="H344" s="654">
        <f>IF(D344=0,"",IF(AND(D344&lt;0,E344*G344&gt;2),(ABS((2-(G344*E344)))*D344),IF(D344&gt;0,D344*E344*G344,0)))</f>
        <v>1.6800000000000002</v>
      </c>
      <c r="I344" s="655"/>
      <c r="J344" s="656"/>
      <c r="K344" s="609">
        <f>H344</f>
        <v>1.6800000000000002</v>
      </c>
      <c r="L344" s="609" t="str">
        <f>B344</f>
        <v>PM01</v>
      </c>
      <c r="M344" s="603"/>
      <c r="N344" s="577" t="s">
        <v>611</v>
      </c>
      <c r="O344" s="577" t="s">
        <v>611</v>
      </c>
      <c r="P344" s="608" t="s">
        <v>611</v>
      </c>
      <c r="Q344" s="604"/>
      <c r="R344" s="605"/>
      <c r="S344" s="606"/>
      <c r="T344" s="606"/>
      <c r="U344" s="606"/>
      <c r="V344" s="606"/>
      <c r="W344" s="606"/>
      <c r="X344" s="604"/>
      <c r="Y344" s="604"/>
      <c r="Z344" s="604"/>
      <c r="AB344" s="605" t="s">
        <v>668</v>
      </c>
    </row>
    <row r="345" spans="1:28" s="575" customFormat="1">
      <c r="A345" s="616"/>
      <c r="B345" s="576" t="s">
        <v>942</v>
      </c>
      <c r="C345" s="591"/>
      <c r="D345" s="617"/>
      <c r="E345" s="618"/>
      <c r="F345" s="619"/>
      <c r="G345" s="620"/>
      <c r="H345" s="621"/>
      <c r="I345" s="622"/>
      <c r="J345" s="623"/>
      <c r="K345" s="586"/>
      <c r="L345" s="586" t="str">
        <f t="shared" si="10"/>
        <v>PV01</v>
      </c>
      <c r="M345" s="571"/>
      <c r="N345" s="577" t="s">
        <v>611</v>
      </c>
      <c r="O345" s="577" t="s">
        <v>611</v>
      </c>
      <c r="P345" s="608" t="s">
        <v>611</v>
      </c>
      <c r="Q345" s="572"/>
      <c r="R345" s="573"/>
      <c r="S345" s="574"/>
      <c r="T345" s="574"/>
      <c r="U345" s="574"/>
      <c r="V345" s="574"/>
      <c r="W345" s="574"/>
      <c r="X345" s="572"/>
      <c r="Y345" s="572"/>
      <c r="Z345" s="572"/>
      <c r="AB345" s="573"/>
    </row>
    <row r="346" spans="1:28" s="607" customFormat="1">
      <c r="A346" s="649"/>
      <c r="B346" s="602" t="s">
        <v>833</v>
      </c>
      <c r="C346" s="613"/>
      <c r="D346" s="650">
        <v>1</v>
      </c>
      <c r="E346" s="651">
        <f>VLOOKUP(B346,'[10]auxiliar memoria'!$B$155:$E$302,2,FALSE)</f>
        <v>0.8</v>
      </c>
      <c r="F346" s="652"/>
      <c r="G346" s="653">
        <f>VLOOKUP(B346,'[10]auxiliar memoria'!$B$155:$E$302,3,FALSE)</f>
        <v>2.1</v>
      </c>
      <c r="H346" s="654">
        <f>IF(D346=0,"",IF(AND(D346&lt;0,E346*G346&gt;2),(ABS((2-(G346*E346)))*D346),IF(D346&gt;0,D346*E346*G346,0)))</f>
        <v>1.6800000000000002</v>
      </c>
      <c r="I346" s="655"/>
      <c r="J346" s="656"/>
      <c r="K346" s="609">
        <f>H346</f>
        <v>1.6800000000000002</v>
      </c>
      <c r="L346" s="609" t="str">
        <f>B346</f>
        <v>PV01</v>
      </c>
      <c r="M346" s="603"/>
      <c r="N346" s="577" t="s">
        <v>611</v>
      </c>
      <c r="O346" s="577" t="s">
        <v>611</v>
      </c>
      <c r="P346" s="608" t="s">
        <v>611</v>
      </c>
      <c r="Q346" s="604"/>
      <c r="R346" s="605"/>
      <c r="S346" s="606"/>
      <c r="T346" s="606"/>
      <c r="U346" s="606"/>
      <c r="V346" s="606"/>
      <c r="W346" s="606"/>
      <c r="X346" s="604"/>
      <c r="Y346" s="604"/>
      <c r="Z346" s="604"/>
      <c r="AB346" s="605" t="s">
        <v>668</v>
      </c>
    </row>
    <row r="347" spans="1:28" s="575" customFormat="1">
      <c r="A347" s="616"/>
      <c r="B347" s="576" t="s">
        <v>172</v>
      </c>
      <c r="C347" s="591"/>
      <c r="D347" s="617"/>
      <c r="E347" s="618"/>
      <c r="F347" s="619"/>
      <c r="G347" s="620"/>
      <c r="H347" s="621"/>
      <c r="I347" s="622"/>
      <c r="J347" s="623"/>
      <c r="K347" s="586"/>
      <c r="L347" s="586" t="str">
        <f t="shared" si="10"/>
        <v>PA01</v>
      </c>
      <c r="M347" s="571"/>
      <c r="N347" s="577" t="s">
        <v>611</v>
      </c>
      <c r="O347" s="577" t="s">
        <v>611</v>
      </c>
      <c r="P347" s="608" t="s">
        <v>611</v>
      </c>
      <c r="Q347" s="572"/>
      <c r="R347" s="573"/>
      <c r="S347" s="574"/>
      <c r="T347" s="574"/>
      <c r="U347" s="574"/>
      <c r="V347" s="574"/>
      <c r="W347" s="574"/>
      <c r="X347" s="572"/>
      <c r="Y347" s="572"/>
      <c r="Z347" s="572"/>
      <c r="AB347" s="573"/>
    </row>
    <row r="348" spans="1:28" s="607" customFormat="1">
      <c r="A348" s="649"/>
      <c r="B348" s="602" t="s">
        <v>718</v>
      </c>
      <c r="C348" s="613"/>
      <c r="D348" s="650">
        <v>1</v>
      </c>
      <c r="E348" s="651">
        <f>VLOOKUP(B348,'[10]auxiliar memoria'!$B$155:$E$302,2,FALSE)</f>
        <v>1.2</v>
      </c>
      <c r="F348" s="652"/>
      <c r="G348" s="653">
        <f>VLOOKUP(B348,'[10]auxiliar memoria'!$B$155:$E$302,3,FALSE)</f>
        <v>1.5</v>
      </c>
      <c r="H348" s="654">
        <f>IF(D348=0,"",IF(AND(D348&lt;0,E348*G348&gt;2),(ABS((2-(G348*E348)))*D348),IF(D348&gt;0,D348*E348*G348,0)))</f>
        <v>1.7999999999999998</v>
      </c>
      <c r="I348" s="655"/>
      <c r="J348" s="656"/>
      <c r="K348" s="609">
        <f>H348</f>
        <v>1.7999999999999998</v>
      </c>
      <c r="L348" s="609" t="str">
        <f>B348</f>
        <v>PA01</v>
      </c>
      <c r="M348" s="603"/>
      <c r="N348" s="577" t="s">
        <v>611</v>
      </c>
      <c r="O348" s="577" t="s">
        <v>611</v>
      </c>
      <c r="P348" s="608" t="s">
        <v>611</v>
      </c>
      <c r="Q348" s="604"/>
      <c r="R348" s="605"/>
      <c r="S348" s="606"/>
      <c r="T348" s="606"/>
      <c r="U348" s="606"/>
      <c r="V348" s="606"/>
      <c r="W348" s="606"/>
      <c r="X348" s="604"/>
      <c r="Y348" s="604"/>
      <c r="Z348" s="604"/>
      <c r="AB348" s="605" t="s">
        <v>668</v>
      </c>
    </row>
    <row r="349" spans="1:28" s="575" customFormat="1">
      <c r="A349" s="616"/>
      <c r="B349" s="576" t="s">
        <v>750</v>
      </c>
      <c r="C349" s="591"/>
      <c r="D349" s="617"/>
      <c r="E349" s="618"/>
      <c r="F349" s="619"/>
      <c r="G349" s="620"/>
      <c r="H349" s="621"/>
      <c r="I349" s="622"/>
      <c r="J349" s="623"/>
      <c r="K349" s="586"/>
      <c r="L349" s="586" t="str">
        <f t="shared" si="10"/>
        <v>PA01</v>
      </c>
      <c r="M349" s="571"/>
      <c r="N349" s="577" t="s">
        <v>611</v>
      </c>
      <c r="O349" s="577" t="s">
        <v>611</v>
      </c>
      <c r="P349" s="608" t="s">
        <v>611</v>
      </c>
      <c r="Q349" s="572"/>
      <c r="R349" s="573"/>
      <c r="S349" s="574"/>
      <c r="T349" s="574"/>
      <c r="U349" s="574"/>
      <c r="V349" s="574"/>
      <c r="W349" s="574"/>
      <c r="X349" s="572"/>
      <c r="Y349" s="572"/>
      <c r="Z349" s="572"/>
      <c r="AB349" s="573"/>
    </row>
    <row r="350" spans="1:28" s="607" customFormat="1">
      <c r="A350" s="649"/>
      <c r="B350" s="602" t="s">
        <v>718</v>
      </c>
      <c r="C350" s="613"/>
      <c r="D350" s="650">
        <v>1</v>
      </c>
      <c r="E350" s="651">
        <f>VLOOKUP(B350,'[10]auxiliar memoria'!$B$155:$E$302,2,FALSE)</f>
        <v>1.2</v>
      </c>
      <c r="F350" s="652"/>
      <c r="G350" s="653">
        <f>VLOOKUP(B350,'[10]auxiliar memoria'!$B$155:$E$302,3,FALSE)</f>
        <v>1.5</v>
      </c>
      <c r="H350" s="654">
        <f>IF(D350=0,"",IF(AND(D350&lt;0,E350*G350&gt;2),(ABS((2-(G350*E350)))*D350),IF(D350&gt;0,D350*E350*G350,0)))</f>
        <v>1.7999999999999998</v>
      </c>
      <c r="I350" s="655"/>
      <c r="J350" s="656"/>
      <c r="K350" s="609">
        <f>H350</f>
        <v>1.7999999999999998</v>
      </c>
      <c r="L350" s="609" t="str">
        <f>B350</f>
        <v>PA01</v>
      </c>
      <c r="M350" s="603"/>
      <c r="N350" s="577" t="s">
        <v>611</v>
      </c>
      <c r="O350" s="577" t="s">
        <v>611</v>
      </c>
      <c r="P350" s="608" t="s">
        <v>611</v>
      </c>
      <c r="Q350" s="604"/>
      <c r="R350" s="605"/>
      <c r="S350" s="606"/>
      <c r="T350" s="606"/>
      <c r="U350" s="606"/>
      <c r="V350" s="606"/>
      <c r="W350" s="606"/>
      <c r="X350" s="604"/>
      <c r="Y350" s="604"/>
      <c r="Z350" s="604"/>
      <c r="AB350" s="605" t="s">
        <v>668</v>
      </c>
    </row>
    <row r="351" spans="1:28" s="575" customFormat="1">
      <c r="A351" s="616"/>
      <c r="B351" s="576" t="s">
        <v>905</v>
      </c>
      <c r="C351" s="591"/>
      <c r="D351" s="617"/>
      <c r="E351" s="618"/>
      <c r="F351" s="619"/>
      <c r="G351" s="620"/>
      <c r="H351" s="621"/>
      <c r="I351" s="622"/>
      <c r="J351" s="623"/>
      <c r="K351" s="586"/>
      <c r="L351" s="586" t="str">
        <f t="shared" si="10"/>
        <v>PF01</v>
      </c>
      <c r="M351" s="571"/>
      <c r="N351" s="577" t="s">
        <v>611</v>
      </c>
      <c r="O351" s="577" t="s">
        <v>611</v>
      </c>
      <c r="P351" s="608" t="s">
        <v>611</v>
      </c>
      <c r="Q351" s="572"/>
      <c r="R351" s="573"/>
      <c r="S351" s="574"/>
      <c r="T351" s="574"/>
      <c r="U351" s="574"/>
      <c r="V351" s="574"/>
      <c r="W351" s="574"/>
      <c r="X351" s="572"/>
      <c r="Y351" s="572"/>
      <c r="Z351" s="572"/>
      <c r="AB351" s="573"/>
    </row>
    <row r="352" spans="1:28" s="607" customFormat="1">
      <c r="A352" s="649"/>
      <c r="B352" s="602" t="s">
        <v>712</v>
      </c>
      <c r="C352" s="613"/>
      <c r="D352" s="650">
        <v>1</v>
      </c>
      <c r="E352" s="651">
        <f>VLOOKUP(B352,'[10]auxiliar memoria'!$B$155:$E$302,2,FALSE)</f>
        <v>4.8</v>
      </c>
      <c r="F352" s="652"/>
      <c r="G352" s="653">
        <f>VLOOKUP(B352,'[10]auxiliar memoria'!$B$155:$E$302,3,FALSE)</f>
        <v>2.1</v>
      </c>
      <c r="H352" s="654">
        <f>IF(D352=0,"",IF(AND(D352&lt;0,E352*G352&gt;2),(ABS((2-(G352*E352)))*D352),IF(D352&gt;0,D352*E352*G352,0)))</f>
        <v>10.08</v>
      </c>
      <c r="I352" s="655"/>
      <c r="J352" s="656"/>
      <c r="K352" s="609">
        <f>H352</f>
        <v>10.08</v>
      </c>
      <c r="L352" s="609" t="str">
        <f>B352</f>
        <v>PF01</v>
      </c>
      <c r="M352" s="603"/>
      <c r="N352" s="577" t="s">
        <v>611</v>
      </c>
      <c r="O352" s="577" t="s">
        <v>611</v>
      </c>
      <c r="P352" s="608" t="s">
        <v>611</v>
      </c>
      <c r="Q352" s="604"/>
      <c r="R352" s="605"/>
      <c r="S352" s="606"/>
      <c r="T352" s="606"/>
      <c r="U352" s="606"/>
      <c r="V352" s="606"/>
      <c r="W352" s="606"/>
      <c r="X352" s="604"/>
      <c r="Y352" s="604"/>
      <c r="Z352" s="604"/>
      <c r="AB352" s="605" t="s">
        <v>668</v>
      </c>
    </row>
    <row r="353" spans="1:28" s="648" customFormat="1">
      <c r="A353" s="632"/>
      <c r="B353" s="633" t="s">
        <v>610</v>
      </c>
      <c r="C353" s="633"/>
      <c r="D353" s="634"/>
      <c r="E353" s="635"/>
      <c r="F353" s="636"/>
      <c r="G353" s="637"/>
      <c r="H353" s="638"/>
      <c r="I353" s="639"/>
      <c r="J353" s="640"/>
      <c r="K353" s="641"/>
      <c r="L353" s="610" t="s">
        <v>197</v>
      </c>
      <c r="M353" s="642"/>
      <c r="N353" s="657"/>
      <c r="O353" s="658" t="s">
        <v>611</v>
      </c>
      <c r="P353" s="659"/>
      <c r="Q353" s="645"/>
      <c r="R353" s="646"/>
      <c r="S353" s="647"/>
      <c r="T353" s="647"/>
      <c r="U353" s="647"/>
      <c r="V353" s="647"/>
      <c r="W353" s="647"/>
      <c r="X353" s="645"/>
      <c r="Y353" s="645"/>
      <c r="Z353" s="645"/>
      <c r="AB353" s="646" t="s">
        <v>668</v>
      </c>
    </row>
    <row r="354" spans="1:28" s="575" customFormat="1">
      <c r="A354" s="616"/>
      <c r="B354" s="570" t="s">
        <v>669</v>
      </c>
      <c r="C354" s="591"/>
      <c r="D354" s="617"/>
      <c r="E354" s="618"/>
      <c r="F354" s="619"/>
      <c r="G354" s="620"/>
      <c r="H354" s="621"/>
      <c r="I354" s="622"/>
      <c r="J354" s="623"/>
      <c r="K354" s="586"/>
      <c r="L354" s="586"/>
      <c r="M354" s="571"/>
      <c r="N354" s="577" t="s">
        <v>611</v>
      </c>
      <c r="O354" s="577" t="s">
        <v>611</v>
      </c>
      <c r="P354" s="589"/>
      <c r="Q354" s="572"/>
      <c r="R354" s="573"/>
      <c r="S354" s="574"/>
      <c r="T354" s="574"/>
      <c r="U354" s="574"/>
      <c r="V354" s="574"/>
      <c r="W354" s="574"/>
      <c r="X354" s="572"/>
      <c r="Y354" s="572"/>
      <c r="Z354" s="572"/>
      <c r="AB354" s="573" t="s">
        <v>668</v>
      </c>
    </row>
    <row r="355" spans="1:28" s="575" customFormat="1">
      <c r="A355" s="616"/>
      <c r="B355" s="576" t="s">
        <v>974</v>
      </c>
      <c r="C355" s="591"/>
      <c r="D355" s="617"/>
      <c r="E355" s="618"/>
      <c r="F355" s="619"/>
      <c r="G355" s="620"/>
      <c r="H355" s="621"/>
      <c r="I355" s="622"/>
      <c r="J355" s="623"/>
      <c r="K355" s="586"/>
      <c r="L355" s="612" t="str">
        <f>L356</f>
        <v>JANELA DA RECEPÇÃO</v>
      </c>
      <c r="M355" s="571"/>
      <c r="N355" s="577" t="s">
        <v>611</v>
      </c>
      <c r="O355" s="577" t="s">
        <v>611</v>
      </c>
      <c r="P355" s="577" t="s">
        <v>611</v>
      </c>
      <c r="Q355" s="572"/>
      <c r="R355" s="573"/>
      <c r="S355" s="574"/>
      <c r="T355" s="574"/>
      <c r="U355" s="574"/>
      <c r="V355" s="574"/>
      <c r="W355" s="574"/>
      <c r="X355" s="572"/>
      <c r="Y355" s="572"/>
      <c r="Z355" s="572"/>
      <c r="AB355" s="573" t="s">
        <v>668</v>
      </c>
    </row>
    <row r="356" spans="1:28" s="607" customFormat="1">
      <c r="A356" s="649"/>
      <c r="B356" s="602" t="s">
        <v>889</v>
      </c>
      <c r="C356" s="613"/>
      <c r="D356" s="650">
        <v>1</v>
      </c>
      <c r="E356" s="651">
        <f>VLOOKUP(B356,'[10]auxiliar memoria'!$B$155:$E$302,2,FALSE)</f>
        <v>5.84</v>
      </c>
      <c r="F356" s="652"/>
      <c r="G356" s="653">
        <f>VLOOKUP(B356,'[10]auxiliar memoria'!$B$155:$E$302,3,FALSE)</f>
        <v>2.1</v>
      </c>
      <c r="H356" s="654">
        <f>IF(D356=0,"",IF(AND(D356&lt;0,E356*G356&gt;2),(ABS((2-(G356*E356)))*D356),IF(D356&gt;0,D356*E356*G356,0)))</f>
        <v>12.263999999999999</v>
      </c>
      <c r="I356" s="655"/>
      <c r="J356" s="656"/>
      <c r="K356" s="609">
        <f>H356</f>
        <v>12.263999999999999</v>
      </c>
      <c r="L356" s="611" t="str">
        <f>B356</f>
        <v>JANELA DA RECEPÇÃO</v>
      </c>
      <c r="M356" s="603"/>
      <c r="N356" s="577" t="s">
        <v>611</v>
      </c>
      <c r="O356" s="577" t="s">
        <v>611</v>
      </c>
      <c r="P356" s="608" t="s">
        <v>611</v>
      </c>
      <c r="Q356" s="604"/>
      <c r="R356" s="605"/>
      <c r="S356" s="606"/>
      <c r="T356" s="606"/>
      <c r="U356" s="606"/>
      <c r="V356" s="606"/>
      <c r="W356" s="606"/>
      <c r="X356" s="604"/>
      <c r="Y356" s="604"/>
      <c r="Z356" s="604"/>
      <c r="AB356" s="605" t="s">
        <v>668</v>
      </c>
    </row>
    <row r="357" spans="1:28" s="575" customFormat="1">
      <c r="A357" s="616"/>
      <c r="B357" s="576" t="s">
        <v>772</v>
      </c>
      <c r="C357" s="591"/>
      <c r="D357" s="617"/>
      <c r="E357" s="618"/>
      <c r="F357" s="619"/>
      <c r="G357" s="620"/>
      <c r="H357" s="621"/>
      <c r="I357" s="622"/>
      <c r="J357" s="623"/>
      <c r="K357" s="586"/>
      <c r="L357" s="612" t="str">
        <f>L358</f>
        <v>JA04</v>
      </c>
      <c r="M357" s="571"/>
      <c r="N357" s="577" t="s">
        <v>611</v>
      </c>
      <c r="O357" s="577" t="s">
        <v>611</v>
      </c>
      <c r="P357" s="577" t="s">
        <v>611</v>
      </c>
      <c r="Q357" s="572"/>
      <c r="R357" s="573"/>
      <c r="S357" s="574"/>
      <c r="T357" s="574"/>
      <c r="U357" s="574"/>
      <c r="V357" s="574"/>
      <c r="W357" s="574"/>
      <c r="X357" s="572"/>
      <c r="Y357" s="572"/>
      <c r="Z357" s="572"/>
      <c r="AB357" s="573" t="s">
        <v>668</v>
      </c>
    </row>
    <row r="358" spans="1:28" s="607" customFormat="1">
      <c r="A358" s="649"/>
      <c r="B358" s="602" t="s">
        <v>688</v>
      </c>
      <c r="C358" s="613"/>
      <c r="D358" s="650">
        <v>1</v>
      </c>
      <c r="E358" s="651">
        <f>VLOOKUP(B358,'[10]auxiliar memoria'!$B$155:$E$302,2,FALSE)</f>
        <v>3.55</v>
      </c>
      <c r="F358" s="652"/>
      <c r="G358" s="653">
        <f>VLOOKUP(B358,'[10]auxiliar memoria'!$B$155:$E$302,3,FALSE)</f>
        <v>1</v>
      </c>
      <c r="H358" s="654">
        <f>IF(D358=0,"",IF(AND(D358&lt;0,E358*G358&gt;2),(ABS((2-(G358*E358)))*D358),IF(D358&gt;0,D358*E358*G358,0)))</f>
        <v>3.55</v>
      </c>
      <c r="I358" s="655"/>
      <c r="J358" s="656"/>
      <c r="K358" s="609">
        <f>H358</f>
        <v>3.55</v>
      </c>
      <c r="L358" s="611" t="str">
        <f>B358</f>
        <v>JA04</v>
      </c>
      <c r="M358" s="603"/>
      <c r="N358" s="577" t="s">
        <v>611</v>
      </c>
      <c r="O358" s="577" t="s">
        <v>611</v>
      </c>
      <c r="P358" s="608" t="s">
        <v>611</v>
      </c>
      <c r="Q358" s="604"/>
      <c r="R358" s="605"/>
      <c r="S358" s="606"/>
      <c r="T358" s="606"/>
      <c r="U358" s="606"/>
      <c r="V358" s="606"/>
      <c r="W358" s="606"/>
      <c r="X358" s="604"/>
      <c r="Y358" s="604"/>
      <c r="Z358" s="604"/>
      <c r="AB358" s="605" t="s">
        <v>668</v>
      </c>
    </row>
    <row r="359" spans="1:28" s="575" customFormat="1">
      <c r="A359" s="616"/>
      <c r="B359" s="576" t="s">
        <v>928</v>
      </c>
      <c r="C359" s="591"/>
      <c r="D359" s="617"/>
      <c r="E359" s="618"/>
      <c r="F359" s="619"/>
      <c r="G359" s="620"/>
      <c r="H359" s="621"/>
      <c r="I359" s="622"/>
      <c r="J359" s="623"/>
      <c r="K359" s="586"/>
      <c r="L359" s="586" t="str">
        <f>L360</f>
        <v>JA01</v>
      </c>
      <c r="M359" s="571"/>
      <c r="N359" s="577" t="s">
        <v>611</v>
      </c>
      <c r="O359" s="577" t="s">
        <v>611</v>
      </c>
      <c r="P359" s="577" t="s">
        <v>611</v>
      </c>
      <c r="Q359" s="572"/>
      <c r="R359" s="573"/>
      <c r="S359" s="574"/>
      <c r="T359" s="574"/>
      <c r="U359" s="574"/>
      <c r="V359" s="574"/>
      <c r="W359" s="574"/>
      <c r="X359" s="572"/>
      <c r="Y359" s="572"/>
      <c r="Z359" s="572"/>
      <c r="AB359" s="573" t="s">
        <v>668</v>
      </c>
    </row>
    <row r="360" spans="1:28" s="607" customFormat="1">
      <c r="A360" s="649"/>
      <c r="B360" s="602" t="s">
        <v>685</v>
      </c>
      <c r="C360" s="613"/>
      <c r="D360" s="650">
        <v>4</v>
      </c>
      <c r="E360" s="651">
        <f>VLOOKUP(B360,'[10]auxiliar memoria'!$B$155:$E$302,2,FALSE)</f>
        <v>1.5</v>
      </c>
      <c r="F360" s="652"/>
      <c r="G360" s="653">
        <f>VLOOKUP(B360,'[10]auxiliar memoria'!$B$155:$E$302,3,FALSE)</f>
        <v>1</v>
      </c>
      <c r="H360" s="654">
        <f>IF(D360=0,"",IF(AND(D360&lt;0,E360*G360&gt;2),(ABS((2-(G360*E360)))*D360),IF(D360&gt;0,D360*E360*G360,0)))</f>
        <v>6</v>
      </c>
      <c r="I360" s="655"/>
      <c r="J360" s="656"/>
      <c r="K360" s="609">
        <f>H360</f>
        <v>6</v>
      </c>
      <c r="L360" s="609" t="str">
        <f>B360</f>
        <v>JA01</v>
      </c>
      <c r="M360" s="603"/>
      <c r="N360" s="577" t="s">
        <v>611</v>
      </c>
      <c r="O360" s="577" t="s">
        <v>611</v>
      </c>
      <c r="P360" s="608" t="s">
        <v>611</v>
      </c>
      <c r="Q360" s="604"/>
      <c r="R360" s="605"/>
      <c r="S360" s="606"/>
      <c r="T360" s="606"/>
      <c r="U360" s="606"/>
      <c r="V360" s="606"/>
      <c r="W360" s="606"/>
      <c r="X360" s="604"/>
      <c r="Y360" s="604"/>
      <c r="Z360" s="604"/>
      <c r="AB360" s="605" t="s">
        <v>668</v>
      </c>
    </row>
    <row r="361" spans="1:28" s="575" customFormat="1">
      <c r="A361" s="616"/>
      <c r="B361" s="576" t="s">
        <v>911</v>
      </c>
      <c r="C361" s="591"/>
      <c r="D361" s="617"/>
      <c r="E361" s="618"/>
      <c r="F361" s="619"/>
      <c r="G361" s="620"/>
      <c r="H361" s="621"/>
      <c r="I361" s="622"/>
      <c r="J361" s="623"/>
      <c r="K361" s="586"/>
      <c r="L361" s="586"/>
      <c r="M361" s="571"/>
      <c r="N361" s="577" t="s">
        <v>611</v>
      </c>
      <c r="O361" s="577" t="s">
        <v>611</v>
      </c>
      <c r="P361" s="577" t="s">
        <v>611</v>
      </c>
      <c r="Q361" s="572"/>
      <c r="R361" s="573"/>
      <c r="S361" s="574"/>
      <c r="T361" s="574"/>
      <c r="U361" s="574"/>
      <c r="V361" s="574"/>
      <c r="W361" s="574"/>
      <c r="X361" s="572"/>
      <c r="Y361" s="572"/>
      <c r="Z361" s="572"/>
      <c r="AB361" s="573" t="s">
        <v>668</v>
      </c>
    </row>
    <row r="362" spans="1:28" s="599" customFormat="1">
      <c r="A362" s="624"/>
      <c r="B362" s="602" t="s">
        <v>691</v>
      </c>
      <c r="C362" s="613"/>
      <c r="D362" s="650">
        <v>1</v>
      </c>
      <c r="E362" s="651">
        <f>VLOOKUP(B362,'[10]auxiliar memoria'!$B$155:$E$302,2,FALSE)</f>
        <v>1</v>
      </c>
      <c r="F362" s="652"/>
      <c r="G362" s="653">
        <f>VLOOKUP(B362,'[10]auxiliar memoria'!$B$155:$E$302,3,FALSE)</f>
        <v>0.5</v>
      </c>
      <c r="H362" s="654">
        <f>IF(D362=0,"",IF(AND(D362&lt;0,E362*G362&gt;2),(ABS((2-(G362*E362)))*D362),IF(D362&gt;0,D362*E362*G362,0)))</f>
        <v>0.5</v>
      </c>
      <c r="I362" s="655"/>
      <c r="J362" s="656"/>
      <c r="K362" s="609">
        <f>H362</f>
        <v>0.5</v>
      </c>
      <c r="L362" s="611" t="str">
        <f>B362</f>
        <v>JA07</v>
      </c>
      <c r="M362" s="594"/>
      <c r="N362" s="595" t="s">
        <v>611</v>
      </c>
      <c r="O362" s="577" t="s">
        <v>611</v>
      </c>
      <c r="P362" s="595" t="s">
        <v>611</v>
      </c>
      <c r="Q362" s="596"/>
      <c r="R362" s="597"/>
      <c r="S362" s="598"/>
      <c r="T362" s="598"/>
      <c r="U362" s="598"/>
      <c r="V362" s="598"/>
      <c r="W362" s="598"/>
      <c r="X362" s="596"/>
      <c r="Y362" s="596"/>
      <c r="Z362" s="596"/>
      <c r="AB362" s="597" t="s">
        <v>668</v>
      </c>
    </row>
    <row r="363" spans="1:28" s="575" customFormat="1">
      <c r="A363" s="616"/>
      <c r="B363" s="576" t="s">
        <v>912</v>
      </c>
      <c r="C363" s="591"/>
      <c r="D363" s="617"/>
      <c r="E363" s="618"/>
      <c r="F363" s="619"/>
      <c r="G363" s="620"/>
      <c r="H363" s="621"/>
      <c r="I363" s="622"/>
      <c r="J363" s="623"/>
      <c r="K363" s="586"/>
      <c r="L363" s="586" t="str">
        <f>L364</f>
        <v>JA07</v>
      </c>
      <c r="M363" s="571"/>
      <c r="N363" s="577" t="s">
        <v>611</v>
      </c>
      <c r="O363" s="577" t="s">
        <v>611</v>
      </c>
      <c r="P363" s="577" t="s">
        <v>611</v>
      </c>
      <c r="Q363" s="572"/>
      <c r="R363" s="573"/>
      <c r="S363" s="574"/>
      <c r="T363" s="574"/>
      <c r="U363" s="574"/>
      <c r="V363" s="574"/>
      <c r="W363" s="574"/>
      <c r="X363" s="572"/>
      <c r="Y363" s="572"/>
      <c r="Z363" s="572"/>
      <c r="AB363" s="573" t="s">
        <v>668</v>
      </c>
    </row>
    <row r="364" spans="1:28" s="607" customFormat="1">
      <c r="A364" s="649"/>
      <c r="B364" s="602" t="s">
        <v>691</v>
      </c>
      <c r="C364" s="613"/>
      <c r="D364" s="650">
        <v>1</v>
      </c>
      <c r="E364" s="651">
        <f>VLOOKUP(B364,'[10]auxiliar memoria'!$B$155:$E$302,2,FALSE)</f>
        <v>1</v>
      </c>
      <c r="F364" s="652"/>
      <c r="G364" s="653">
        <f>VLOOKUP(B364,'[10]auxiliar memoria'!$B$155:$E$302,3,FALSE)</f>
        <v>0.5</v>
      </c>
      <c r="H364" s="654">
        <f>IF(D364=0,"",IF(AND(D364&lt;0,E364*G364&gt;2),(ABS((2-(G364*E364)))*D364),IF(D364&gt;0,D364*E364*G364,0)))</f>
        <v>0.5</v>
      </c>
      <c r="I364" s="655"/>
      <c r="J364" s="656"/>
      <c r="K364" s="609">
        <f>H364</f>
        <v>0.5</v>
      </c>
      <c r="L364" s="609" t="str">
        <f>B364</f>
        <v>JA07</v>
      </c>
      <c r="M364" s="603"/>
      <c r="N364" s="577" t="s">
        <v>611</v>
      </c>
      <c r="O364" s="577" t="s">
        <v>611</v>
      </c>
      <c r="P364" s="608" t="s">
        <v>611</v>
      </c>
      <c r="Q364" s="604"/>
      <c r="R364" s="605"/>
      <c r="S364" s="606"/>
      <c r="T364" s="606"/>
      <c r="U364" s="606"/>
      <c r="V364" s="606"/>
      <c r="W364" s="606"/>
      <c r="X364" s="604"/>
      <c r="Y364" s="604"/>
      <c r="Z364" s="604"/>
      <c r="AB364" s="605" t="s">
        <v>668</v>
      </c>
    </row>
    <row r="365" spans="1:28" s="575" customFormat="1">
      <c r="A365" s="616"/>
      <c r="B365" s="576" t="s">
        <v>929</v>
      </c>
      <c r="C365" s="591"/>
      <c r="D365" s="617"/>
      <c r="E365" s="618"/>
      <c r="F365" s="619"/>
      <c r="G365" s="620"/>
      <c r="H365" s="621"/>
      <c r="I365" s="622"/>
      <c r="J365" s="623"/>
      <c r="K365" s="586"/>
      <c r="L365" s="586" t="str">
        <f t="shared" ref="L365:L369" si="11">L366</f>
        <v>JA01</v>
      </c>
      <c r="M365" s="571"/>
      <c r="N365" s="577" t="s">
        <v>611</v>
      </c>
      <c r="O365" s="577" t="s">
        <v>611</v>
      </c>
      <c r="P365" s="577" t="s">
        <v>611</v>
      </c>
      <c r="Q365" s="572"/>
      <c r="R365" s="573"/>
      <c r="S365" s="574"/>
      <c r="T365" s="574"/>
      <c r="U365" s="574"/>
      <c r="V365" s="574"/>
      <c r="W365" s="574"/>
      <c r="X365" s="572"/>
      <c r="Y365" s="572"/>
      <c r="Z365" s="572"/>
      <c r="AB365" s="573" t="s">
        <v>668</v>
      </c>
    </row>
    <row r="366" spans="1:28" s="607" customFormat="1">
      <c r="A366" s="649"/>
      <c r="B366" s="602" t="s">
        <v>685</v>
      </c>
      <c r="C366" s="613"/>
      <c r="D366" s="650">
        <v>2</v>
      </c>
      <c r="E366" s="651">
        <f>VLOOKUP(B366,'[10]auxiliar memoria'!$B$155:$E$302,2,FALSE)</f>
        <v>1.5</v>
      </c>
      <c r="F366" s="652"/>
      <c r="G366" s="653">
        <f>VLOOKUP(B366,'[10]auxiliar memoria'!$B$155:$E$302,3,FALSE)</f>
        <v>1</v>
      </c>
      <c r="H366" s="654">
        <f>IF(D366=0,"",IF(AND(D366&lt;0,E366*G366&gt;2),(ABS((2-(G366*E366)))*D366),IF(D366&gt;0,D366*E366*G366,0)))</f>
        <v>3</v>
      </c>
      <c r="I366" s="655"/>
      <c r="J366" s="656"/>
      <c r="K366" s="609">
        <f>H366</f>
        <v>3</v>
      </c>
      <c r="L366" s="609" t="str">
        <f>B366</f>
        <v>JA01</v>
      </c>
      <c r="M366" s="603"/>
      <c r="N366" s="577" t="s">
        <v>611</v>
      </c>
      <c r="O366" s="577" t="s">
        <v>611</v>
      </c>
      <c r="P366" s="608" t="s">
        <v>611</v>
      </c>
      <c r="Q366" s="604"/>
      <c r="R366" s="605"/>
      <c r="S366" s="606"/>
      <c r="T366" s="606"/>
      <c r="U366" s="606"/>
      <c r="V366" s="606"/>
      <c r="W366" s="606"/>
      <c r="X366" s="604"/>
      <c r="Y366" s="604"/>
      <c r="Z366" s="604"/>
      <c r="AB366" s="605" t="s">
        <v>668</v>
      </c>
    </row>
    <row r="367" spans="1:28" s="575" customFormat="1">
      <c r="A367" s="616"/>
      <c r="B367" s="576" t="s">
        <v>913</v>
      </c>
      <c r="C367" s="591"/>
      <c r="D367" s="617"/>
      <c r="E367" s="618"/>
      <c r="F367" s="619"/>
      <c r="G367" s="620"/>
      <c r="H367" s="621"/>
      <c r="I367" s="622"/>
      <c r="J367" s="623"/>
      <c r="K367" s="586"/>
      <c r="L367" s="586" t="str">
        <f t="shared" si="11"/>
        <v>JA07</v>
      </c>
      <c r="M367" s="571"/>
      <c r="N367" s="577" t="s">
        <v>611</v>
      </c>
      <c r="O367" s="577" t="s">
        <v>611</v>
      </c>
      <c r="P367" s="577" t="s">
        <v>611</v>
      </c>
      <c r="Q367" s="572"/>
      <c r="R367" s="573"/>
      <c r="S367" s="574"/>
      <c r="T367" s="574"/>
      <c r="U367" s="574"/>
      <c r="V367" s="574"/>
      <c r="W367" s="574"/>
      <c r="X367" s="572"/>
      <c r="Y367" s="572"/>
      <c r="Z367" s="572"/>
      <c r="AB367" s="573" t="s">
        <v>668</v>
      </c>
    </row>
    <row r="368" spans="1:28" s="607" customFormat="1">
      <c r="A368" s="649"/>
      <c r="B368" s="602" t="s">
        <v>691</v>
      </c>
      <c r="C368" s="613"/>
      <c r="D368" s="650">
        <v>2</v>
      </c>
      <c r="E368" s="651">
        <f>VLOOKUP(B368,'[10]auxiliar memoria'!$B$155:$E$302,2,FALSE)</f>
        <v>1</v>
      </c>
      <c r="F368" s="652"/>
      <c r="G368" s="653">
        <f>VLOOKUP(B368,'[10]auxiliar memoria'!$B$155:$E$302,3,FALSE)</f>
        <v>0.5</v>
      </c>
      <c r="H368" s="654">
        <f>IF(D368=0,"",IF(AND(D368&lt;0,E368*G368&gt;2),(ABS((2-(G368*E368)))*D368),IF(D368&gt;0,D368*E368*G368,0)))</f>
        <v>1</v>
      </c>
      <c r="I368" s="655"/>
      <c r="J368" s="656"/>
      <c r="K368" s="609">
        <f>H368</f>
        <v>1</v>
      </c>
      <c r="L368" s="609" t="str">
        <f>B368</f>
        <v>JA07</v>
      </c>
      <c r="M368" s="603"/>
      <c r="N368" s="577" t="s">
        <v>611</v>
      </c>
      <c r="O368" s="577" t="s">
        <v>611</v>
      </c>
      <c r="P368" s="608" t="s">
        <v>611</v>
      </c>
      <c r="Q368" s="604"/>
      <c r="R368" s="605"/>
      <c r="S368" s="606"/>
      <c r="T368" s="606"/>
      <c r="U368" s="606"/>
      <c r="V368" s="606"/>
      <c r="W368" s="606"/>
      <c r="X368" s="604"/>
      <c r="Y368" s="604"/>
      <c r="Z368" s="604"/>
      <c r="AB368" s="605" t="s">
        <v>668</v>
      </c>
    </row>
    <row r="369" spans="1:28" s="575" customFormat="1">
      <c r="A369" s="616"/>
      <c r="B369" s="576" t="s">
        <v>930</v>
      </c>
      <c r="C369" s="591"/>
      <c r="D369" s="617"/>
      <c r="E369" s="618"/>
      <c r="F369" s="619"/>
      <c r="G369" s="620"/>
      <c r="H369" s="621"/>
      <c r="I369" s="622"/>
      <c r="J369" s="623"/>
      <c r="K369" s="586"/>
      <c r="L369" s="586" t="str">
        <f t="shared" si="11"/>
        <v>JA01</v>
      </c>
      <c r="M369" s="571"/>
      <c r="N369" s="577" t="s">
        <v>611</v>
      </c>
      <c r="O369" s="577" t="s">
        <v>611</v>
      </c>
      <c r="P369" s="577" t="s">
        <v>611</v>
      </c>
      <c r="Q369" s="572"/>
      <c r="R369" s="573"/>
      <c r="S369" s="574"/>
      <c r="T369" s="574"/>
      <c r="U369" s="574"/>
      <c r="V369" s="574"/>
      <c r="W369" s="574"/>
      <c r="X369" s="572"/>
      <c r="Y369" s="572"/>
      <c r="Z369" s="572"/>
      <c r="AB369" s="573" t="s">
        <v>668</v>
      </c>
    </row>
    <row r="370" spans="1:28" s="607" customFormat="1">
      <c r="A370" s="649"/>
      <c r="B370" s="602" t="s">
        <v>685</v>
      </c>
      <c r="C370" s="613"/>
      <c r="D370" s="650">
        <v>3</v>
      </c>
      <c r="E370" s="651">
        <f>VLOOKUP(B370,'[10]auxiliar memoria'!$B$155:$E$302,2,FALSE)</f>
        <v>1.5</v>
      </c>
      <c r="F370" s="652"/>
      <c r="G370" s="653">
        <f>VLOOKUP(B370,'[10]auxiliar memoria'!$B$155:$E$302,3,FALSE)</f>
        <v>1</v>
      </c>
      <c r="H370" s="654">
        <f>IF(D370=0,"",IF(AND(D370&lt;0,E370*G370&gt;2),(ABS((2-(G370*E370)))*D370),IF(D370&gt;0,D370*E370*G370,0)))</f>
        <v>4.5</v>
      </c>
      <c r="I370" s="655"/>
      <c r="J370" s="656"/>
      <c r="K370" s="609">
        <f>H370</f>
        <v>4.5</v>
      </c>
      <c r="L370" s="609" t="str">
        <f>B370</f>
        <v>JA01</v>
      </c>
      <c r="M370" s="603"/>
      <c r="N370" s="577" t="s">
        <v>611</v>
      </c>
      <c r="O370" s="577" t="s">
        <v>611</v>
      </c>
      <c r="P370" s="608" t="s">
        <v>611</v>
      </c>
      <c r="Q370" s="604"/>
      <c r="R370" s="605"/>
      <c r="S370" s="606"/>
      <c r="T370" s="606"/>
      <c r="U370" s="606"/>
      <c r="V370" s="606"/>
      <c r="W370" s="606"/>
      <c r="X370" s="604"/>
      <c r="Y370" s="604"/>
      <c r="Z370" s="604"/>
      <c r="AB370" s="605" t="s">
        <v>668</v>
      </c>
    </row>
    <row r="371" spans="1:28" s="575" customFormat="1" ht="46.5">
      <c r="A371" s="616"/>
      <c r="B371" s="576" t="s">
        <v>914</v>
      </c>
      <c r="C371" s="591"/>
      <c r="D371" s="617"/>
      <c r="E371" s="618"/>
      <c r="F371" s="619"/>
      <c r="G371" s="620"/>
      <c r="H371" s="621"/>
      <c r="I371" s="622"/>
      <c r="J371" s="623"/>
      <c r="K371" s="586"/>
      <c r="L371" s="586" t="str">
        <f t="shared" ref="L371:L421" si="12">L372</f>
        <v>JA07</v>
      </c>
      <c r="M371" s="571"/>
      <c r="N371" s="577" t="s">
        <v>611</v>
      </c>
      <c r="O371" s="577" t="s">
        <v>611</v>
      </c>
      <c r="P371" s="577" t="s">
        <v>611</v>
      </c>
      <c r="Q371" s="572"/>
      <c r="R371" s="573"/>
      <c r="S371" s="574"/>
      <c r="T371" s="574"/>
      <c r="U371" s="574"/>
      <c r="V371" s="574"/>
      <c r="W371" s="574"/>
      <c r="X371" s="572"/>
      <c r="Y371" s="572"/>
      <c r="Z371" s="572"/>
      <c r="AB371" s="573" t="s">
        <v>668</v>
      </c>
    </row>
    <row r="372" spans="1:28" s="607" customFormat="1">
      <c r="A372" s="649"/>
      <c r="B372" s="602" t="s">
        <v>691</v>
      </c>
      <c r="C372" s="613"/>
      <c r="D372" s="650">
        <v>1</v>
      </c>
      <c r="E372" s="651">
        <f>VLOOKUP(B372,'[10]auxiliar memoria'!$B$155:$E$302,2,FALSE)</f>
        <v>1</v>
      </c>
      <c r="F372" s="652"/>
      <c r="G372" s="653">
        <f>VLOOKUP(B372,'[10]auxiliar memoria'!$B$155:$E$302,3,FALSE)</f>
        <v>0.5</v>
      </c>
      <c r="H372" s="654">
        <f>IF(D372=0,"",IF(AND(D372&lt;0,E372*G372&gt;2),(ABS((2-(G372*E372)))*D372),IF(D372&gt;0,D372*E372*G372,0)))</f>
        <v>0.5</v>
      </c>
      <c r="I372" s="655"/>
      <c r="J372" s="656"/>
      <c r="K372" s="609">
        <f>H372</f>
        <v>0.5</v>
      </c>
      <c r="L372" s="609" t="str">
        <f>B372</f>
        <v>JA07</v>
      </c>
      <c r="M372" s="603"/>
      <c r="N372" s="577" t="s">
        <v>611</v>
      </c>
      <c r="O372" s="577" t="s">
        <v>611</v>
      </c>
      <c r="P372" s="608" t="s">
        <v>611</v>
      </c>
      <c r="Q372" s="604"/>
      <c r="R372" s="605"/>
      <c r="S372" s="606"/>
      <c r="T372" s="606"/>
      <c r="U372" s="606"/>
      <c r="V372" s="606"/>
      <c r="W372" s="606"/>
      <c r="X372" s="604"/>
      <c r="Y372" s="604"/>
      <c r="Z372" s="604"/>
      <c r="AB372" s="605" t="s">
        <v>668</v>
      </c>
    </row>
    <row r="373" spans="1:28" s="575" customFormat="1" ht="46.5">
      <c r="A373" s="616"/>
      <c r="B373" s="576" t="s">
        <v>915</v>
      </c>
      <c r="C373" s="591"/>
      <c r="D373" s="617"/>
      <c r="E373" s="618"/>
      <c r="F373" s="619"/>
      <c r="G373" s="620"/>
      <c r="H373" s="621"/>
      <c r="I373" s="622"/>
      <c r="J373" s="623"/>
      <c r="K373" s="586"/>
      <c r="L373" s="586" t="str">
        <f t="shared" si="12"/>
        <v>JA07</v>
      </c>
      <c r="M373" s="571"/>
      <c r="N373" s="577" t="s">
        <v>611</v>
      </c>
      <c r="O373" s="577" t="s">
        <v>611</v>
      </c>
      <c r="P373" s="577" t="s">
        <v>611</v>
      </c>
      <c r="Q373" s="572"/>
      <c r="R373" s="573"/>
      <c r="S373" s="574"/>
      <c r="T373" s="574"/>
      <c r="U373" s="574"/>
      <c r="V373" s="574"/>
      <c r="W373" s="574"/>
      <c r="X373" s="572"/>
      <c r="Y373" s="572"/>
      <c r="Z373" s="572"/>
      <c r="AB373" s="573" t="s">
        <v>668</v>
      </c>
    </row>
    <row r="374" spans="1:28" s="607" customFormat="1">
      <c r="A374" s="649"/>
      <c r="B374" s="602" t="s">
        <v>691</v>
      </c>
      <c r="C374" s="613"/>
      <c r="D374" s="650">
        <v>2</v>
      </c>
      <c r="E374" s="651">
        <f>VLOOKUP(B374,'[10]auxiliar memoria'!$B$155:$E$302,2,FALSE)</f>
        <v>1</v>
      </c>
      <c r="F374" s="652"/>
      <c r="G374" s="653">
        <f>VLOOKUP(B374,'[10]auxiliar memoria'!$B$155:$E$302,3,FALSE)</f>
        <v>0.5</v>
      </c>
      <c r="H374" s="654">
        <f>IF(D374=0,"",IF(AND(D374&lt;0,E374*G374&gt;2),(ABS((2-(G374*E374)))*D374),IF(D374&gt;0,D374*E374*G374,0)))</f>
        <v>1</v>
      </c>
      <c r="I374" s="655"/>
      <c r="J374" s="656"/>
      <c r="K374" s="609">
        <f>H374</f>
        <v>1</v>
      </c>
      <c r="L374" s="609" t="str">
        <f>B374</f>
        <v>JA07</v>
      </c>
      <c r="M374" s="603"/>
      <c r="N374" s="577" t="s">
        <v>611</v>
      </c>
      <c r="O374" s="577" t="s">
        <v>611</v>
      </c>
      <c r="P374" s="608" t="s">
        <v>611</v>
      </c>
      <c r="Q374" s="604"/>
      <c r="R374" s="605"/>
      <c r="S374" s="606"/>
      <c r="T374" s="606"/>
      <c r="U374" s="606"/>
      <c r="V374" s="606"/>
      <c r="W374" s="606"/>
      <c r="X374" s="604"/>
      <c r="Y374" s="604"/>
      <c r="Z374" s="604"/>
      <c r="AB374" s="605" t="s">
        <v>668</v>
      </c>
    </row>
    <row r="375" spans="1:28" s="575" customFormat="1">
      <c r="A375" s="616"/>
      <c r="B375" s="576" t="s">
        <v>916</v>
      </c>
      <c r="C375" s="591"/>
      <c r="D375" s="617"/>
      <c r="E375" s="618"/>
      <c r="F375" s="619"/>
      <c r="G375" s="620"/>
      <c r="H375" s="621"/>
      <c r="I375" s="622"/>
      <c r="J375" s="623"/>
      <c r="K375" s="586"/>
      <c r="L375" s="586" t="str">
        <f t="shared" si="12"/>
        <v>JA09</v>
      </c>
      <c r="M375" s="571"/>
      <c r="N375" s="577" t="s">
        <v>611</v>
      </c>
      <c r="O375" s="577" t="s">
        <v>611</v>
      </c>
      <c r="P375" s="577" t="s">
        <v>611</v>
      </c>
      <c r="Q375" s="572"/>
      <c r="R375" s="573"/>
      <c r="S375" s="574"/>
      <c r="T375" s="574"/>
      <c r="U375" s="574"/>
      <c r="V375" s="574"/>
      <c r="W375" s="574"/>
      <c r="X375" s="572"/>
      <c r="Y375" s="572"/>
      <c r="Z375" s="572"/>
      <c r="AB375" s="573" t="s">
        <v>668</v>
      </c>
    </row>
    <row r="376" spans="1:28" s="607" customFormat="1" ht="24.75" customHeight="1">
      <c r="A376" s="649"/>
      <c r="B376" s="602" t="s">
        <v>693</v>
      </c>
      <c r="C376" s="613"/>
      <c r="D376" s="650">
        <v>1</v>
      </c>
      <c r="E376" s="651">
        <f>VLOOKUP(B376,'[10]auxiliar memoria'!$B$155:$E$302,2,FALSE)</f>
        <v>2</v>
      </c>
      <c r="F376" s="652"/>
      <c r="G376" s="653">
        <f>VLOOKUP(B376,'[10]auxiliar memoria'!$B$155:$E$302,3,FALSE)</f>
        <v>0.5</v>
      </c>
      <c r="H376" s="654">
        <f>IF(D376=0,"",IF(AND(D376&lt;0,E376*G376&gt;2),(ABS((2-(G376*E376)))*D376),IF(D376&gt;0,D376*E376*G376,0)))</f>
        <v>1</v>
      </c>
      <c r="I376" s="655"/>
      <c r="J376" s="656"/>
      <c r="K376" s="609">
        <f>H376</f>
        <v>1</v>
      </c>
      <c r="L376" s="609" t="str">
        <f>B376</f>
        <v>JA09</v>
      </c>
      <c r="M376" s="603"/>
      <c r="N376" s="577" t="s">
        <v>611</v>
      </c>
      <c r="O376" s="577" t="s">
        <v>611</v>
      </c>
      <c r="P376" s="608" t="s">
        <v>611</v>
      </c>
      <c r="Q376" s="604"/>
      <c r="R376" s="605"/>
      <c r="S376" s="606"/>
      <c r="T376" s="606"/>
      <c r="U376" s="606"/>
      <c r="V376" s="606"/>
      <c r="W376" s="606"/>
      <c r="X376" s="604"/>
      <c r="Y376" s="604"/>
      <c r="Z376" s="604"/>
      <c r="AB376" s="605" t="s">
        <v>668</v>
      </c>
    </row>
    <row r="377" spans="1:28" s="575" customFormat="1">
      <c r="A377" s="616"/>
      <c r="B377" s="576" t="s">
        <v>931</v>
      </c>
      <c r="C377" s="591"/>
      <c r="D377" s="617"/>
      <c r="E377" s="618"/>
      <c r="F377" s="619"/>
      <c r="G377" s="620"/>
      <c r="H377" s="621"/>
      <c r="I377" s="622"/>
      <c r="J377" s="623"/>
      <c r="K377" s="586"/>
      <c r="L377" s="586" t="str">
        <f t="shared" si="12"/>
        <v>JA01</v>
      </c>
      <c r="M377" s="571"/>
      <c r="N377" s="577" t="s">
        <v>611</v>
      </c>
      <c r="O377" s="577" t="s">
        <v>611</v>
      </c>
      <c r="P377" s="577" t="s">
        <v>611</v>
      </c>
      <c r="Q377" s="572"/>
      <c r="R377" s="573"/>
      <c r="S377" s="574"/>
      <c r="T377" s="574"/>
      <c r="U377" s="574"/>
      <c r="V377" s="574"/>
      <c r="W377" s="574"/>
      <c r="X377" s="572"/>
      <c r="Y377" s="572"/>
      <c r="Z377" s="572"/>
      <c r="AB377" s="573" t="s">
        <v>668</v>
      </c>
    </row>
    <row r="378" spans="1:28" s="607" customFormat="1">
      <c r="A378" s="649"/>
      <c r="B378" s="602" t="s">
        <v>685</v>
      </c>
      <c r="C378" s="613"/>
      <c r="D378" s="650">
        <v>1</v>
      </c>
      <c r="E378" s="651">
        <f>VLOOKUP(B378,'[10]auxiliar memoria'!$B$155:$E$302,2,FALSE)</f>
        <v>1.5</v>
      </c>
      <c r="F378" s="652"/>
      <c r="G378" s="653">
        <f>VLOOKUP(B378,'[10]auxiliar memoria'!$B$155:$E$302,3,FALSE)</f>
        <v>1</v>
      </c>
      <c r="H378" s="654">
        <f>IF(D378=0,"",IF(AND(D378&lt;0,E378*G378&gt;2),(ABS((2-(G378*E378)))*D378),IF(D378&gt;0,D378*E378*G378,0)))</f>
        <v>1.5</v>
      </c>
      <c r="I378" s="655"/>
      <c r="J378" s="656"/>
      <c r="K378" s="609">
        <f>H378</f>
        <v>1.5</v>
      </c>
      <c r="L378" s="609" t="str">
        <f>B378</f>
        <v>JA01</v>
      </c>
      <c r="M378" s="603"/>
      <c r="N378" s="577" t="s">
        <v>611</v>
      </c>
      <c r="O378" s="577" t="s">
        <v>611</v>
      </c>
      <c r="P378" s="608" t="s">
        <v>611</v>
      </c>
      <c r="Q378" s="604"/>
      <c r="R378" s="605"/>
      <c r="S378" s="606"/>
      <c r="T378" s="606"/>
      <c r="U378" s="606"/>
      <c r="V378" s="606"/>
      <c r="W378" s="606"/>
      <c r="X378" s="604"/>
      <c r="Y378" s="604"/>
      <c r="Z378" s="604"/>
      <c r="AB378" s="605" t="s">
        <v>668</v>
      </c>
    </row>
    <row r="379" spans="1:28" s="575" customFormat="1">
      <c r="A379" s="616"/>
      <c r="B379" s="576" t="s">
        <v>932</v>
      </c>
      <c r="C379" s="591"/>
      <c r="D379" s="617"/>
      <c r="E379" s="618"/>
      <c r="F379" s="619"/>
      <c r="G379" s="620"/>
      <c r="H379" s="621"/>
      <c r="I379" s="622"/>
      <c r="J379" s="623"/>
      <c r="K379" s="586"/>
      <c r="L379" s="586" t="str">
        <f t="shared" si="12"/>
        <v>JA01</v>
      </c>
      <c r="M379" s="571"/>
      <c r="N379" s="577" t="s">
        <v>611</v>
      </c>
      <c r="O379" s="577" t="s">
        <v>611</v>
      </c>
      <c r="P379" s="608" t="s">
        <v>611</v>
      </c>
      <c r="Q379" s="572"/>
      <c r="R379" s="573"/>
      <c r="S379" s="574"/>
      <c r="T379" s="574"/>
      <c r="U379" s="574"/>
      <c r="V379" s="574"/>
      <c r="W379" s="574"/>
      <c r="X379" s="572"/>
      <c r="Y379" s="572"/>
      <c r="Z379" s="572"/>
      <c r="AB379" s="573"/>
    </row>
    <row r="380" spans="1:28" s="607" customFormat="1">
      <c r="A380" s="649"/>
      <c r="B380" s="602" t="s">
        <v>685</v>
      </c>
      <c r="C380" s="613"/>
      <c r="D380" s="650">
        <v>2</v>
      </c>
      <c r="E380" s="651">
        <f>VLOOKUP(B380,'[10]auxiliar memoria'!$B$155:$E$302,2,FALSE)</f>
        <v>1.5</v>
      </c>
      <c r="F380" s="652"/>
      <c r="G380" s="653">
        <f>VLOOKUP(B380,'[10]auxiliar memoria'!$B$155:$E$302,3,FALSE)</f>
        <v>1</v>
      </c>
      <c r="H380" s="654">
        <f>IF(D380=0,"",IF(AND(D380&lt;0,E380*G380&gt;2),(ABS((2-(G380*E380)))*D380),IF(D380&gt;0,D380*E380*G380,0)))</f>
        <v>3</v>
      </c>
      <c r="I380" s="655"/>
      <c r="J380" s="656"/>
      <c r="K380" s="609">
        <f>H380</f>
        <v>3</v>
      </c>
      <c r="L380" s="609" t="str">
        <f>B380</f>
        <v>JA01</v>
      </c>
      <c r="M380" s="603"/>
      <c r="N380" s="577" t="s">
        <v>611</v>
      </c>
      <c r="O380" s="577" t="s">
        <v>611</v>
      </c>
      <c r="P380" s="608" t="s">
        <v>611</v>
      </c>
      <c r="Q380" s="604"/>
      <c r="R380" s="605"/>
      <c r="S380" s="606"/>
      <c r="T380" s="606"/>
      <c r="U380" s="606"/>
      <c r="V380" s="606"/>
      <c r="W380" s="606"/>
      <c r="X380" s="604"/>
      <c r="Y380" s="604"/>
      <c r="Z380" s="604"/>
      <c r="AB380" s="605" t="s">
        <v>668</v>
      </c>
    </row>
    <row r="381" spans="1:28" s="575" customFormat="1" ht="31.5" customHeight="1">
      <c r="A381" s="616"/>
      <c r="B381" s="576" t="s">
        <v>933</v>
      </c>
      <c r="C381" s="591"/>
      <c r="D381" s="617"/>
      <c r="E381" s="618"/>
      <c r="F381" s="619"/>
      <c r="G381" s="620"/>
      <c r="H381" s="621"/>
      <c r="I381" s="622"/>
      <c r="J381" s="623"/>
      <c r="K381" s="586"/>
      <c r="L381" s="586" t="str">
        <f t="shared" si="12"/>
        <v>JA01</v>
      </c>
      <c r="M381" s="571"/>
      <c r="N381" s="577" t="s">
        <v>611</v>
      </c>
      <c r="O381" s="577" t="s">
        <v>611</v>
      </c>
      <c r="P381" s="608" t="s">
        <v>611</v>
      </c>
      <c r="Q381" s="572"/>
      <c r="R381" s="573"/>
      <c r="S381" s="574"/>
      <c r="T381" s="574"/>
      <c r="U381" s="574"/>
      <c r="V381" s="574"/>
      <c r="W381" s="574"/>
      <c r="X381" s="572"/>
      <c r="Y381" s="572"/>
      <c r="Z381" s="572"/>
      <c r="AB381" s="573"/>
    </row>
    <row r="382" spans="1:28" s="607" customFormat="1">
      <c r="A382" s="649"/>
      <c r="B382" s="602" t="s">
        <v>685</v>
      </c>
      <c r="C382" s="613"/>
      <c r="D382" s="650">
        <v>3</v>
      </c>
      <c r="E382" s="651">
        <f>VLOOKUP(B382,'[10]auxiliar memoria'!$B$155:$E$302,2,FALSE)</f>
        <v>1.5</v>
      </c>
      <c r="F382" s="652"/>
      <c r="G382" s="653">
        <f>VLOOKUP(B382,'[10]auxiliar memoria'!$B$155:$E$302,3,FALSE)</f>
        <v>1</v>
      </c>
      <c r="H382" s="654">
        <f>IF(D382=0,"",IF(AND(D382&lt;0,E382*G382&gt;2),(ABS((2-(G382*E382)))*D382),IF(D382&gt;0,D382*E382*G382,0)))</f>
        <v>4.5</v>
      </c>
      <c r="I382" s="655"/>
      <c r="J382" s="656"/>
      <c r="K382" s="609">
        <f>H382</f>
        <v>4.5</v>
      </c>
      <c r="L382" s="609" t="str">
        <f>B382</f>
        <v>JA01</v>
      </c>
      <c r="M382" s="603"/>
      <c r="N382" s="577" t="s">
        <v>611</v>
      </c>
      <c r="O382" s="577" t="s">
        <v>611</v>
      </c>
      <c r="P382" s="608" t="s">
        <v>611</v>
      </c>
      <c r="Q382" s="604"/>
      <c r="R382" s="605"/>
      <c r="S382" s="606"/>
      <c r="T382" s="606"/>
      <c r="U382" s="606"/>
      <c r="V382" s="606"/>
      <c r="W382" s="606"/>
      <c r="X382" s="604"/>
      <c r="Y382" s="604"/>
      <c r="Z382" s="604"/>
      <c r="AB382" s="605" t="s">
        <v>668</v>
      </c>
    </row>
    <row r="383" spans="1:28" s="575" customFormat="1" ht="46.5">
      <c r="A383" s="616"/>
      <c r="B383" s="576" t="s">
        <v>917</v>
      </c>
      <c r="C383" s="591"/>
      <c r="D383" s="617"/>
      <c r="E383" s="618"/>
      <c r="F383" s="619"/>
      <c r="G383" s="620"/>
      <c r="H383" s="621"/>
      <c r="I383" s="622"/>
      <c r="J383" s="623"/>
      <c r="K383" s="586"/>
      <c r="L383" s="586" t="str">
        <f t="shared" si="12"/>
        <v>JA06</v>
      </c>
      <c r="M383" s="571"/>
      <c r="N383" s="577" t="s">
        <v>611</v>
      </c>
      <c r="O383" s="577" t="s">
        <v>611</v>
      </c>
      <c r="P383" s="608" t="s">
        <v>611</v>
      </c>
      <c r="Q383" s="572"/>
      <c r="R383" s="573"/>
      <c r="S383" s="574"/>
      <c r="T383" s="574"/>
      <c r="U383" s="574"/>
      <c r="V383" s="574"/>
      <c r="W383" s="574"/>
      <c r="X383" s="572"/>
      <c r="Y383" s="572"/>
      <c r="Z383" s="572"/>
      <c r="AB383" s="573"/>
    </row>
    <row r="384" spans="1:28" s="607" customFormat="1">
      <c r="A384" s="649"/>
      <c r="B384" s="602" t="s">
        <v>690</v>
      </c>
      <c r="C384" s="613"/>
      <c r="D384" s="650">
        <v>1</v>
      </c>
      <c r="E384" s="651">
        <f>VLOOKUP(B384,'[10]auxiliar memoria'!$B$155:$E$302,2,FALSE)</f>
        <v>0.8</v>
      </c>
      <c r="F384" s="652"/>
      <c r="G384" s="653">
        <f>VLOOKUP(B384,'[10]auxiliar memoria'!$B$155:$E$302,3,FALSE)</f>
        <v>0.5</v>
      </c>
      <c r="H384" s="654">
        <f>IF(D384=0,"",IF(AND(D384&lt;0,E384*G384&gt;2),(ABS((2-(G384*E384)))*D384),IF(D384&gt;0,D384*E384*G384,0)))</f>
        <v>0.4</v>
      </c>
      <c r="I384" s="655"/>
      <c r="J384" s="656"/>
      <c r="K384" s="609">
        <f>H384</f>
        <v>0.4</v>
      </c>
      <c r="L384" s="609" t="str">
        <f>B384</f>
        <v>JA06</v>
      </c>
      <c r="M384" s="603"/>
      <c r="N384" s="577" t="s">
        <v>611</v>
      </c>
      <c r="O384" s="577" t="s">
        <v>611</v>
      </c>
      <c r="P384" s="608" t="s">
        <v>611</v>
      </c>
      <c r="Q384" s="604"/>
      <c r="R384" s="605"/>
      <c r="S384" s="606"/>
      <c r="T384" s="606"/>
      <c r="U384" s="606"/>
      <c r="V384" s="606"/>
      <c r="W384" s="606"/>
      <c r="X384" s="604"/>
      <c r="Y384" s="604"/>
      <c r="Z384" s="604"/>
      <c r="AB384" s="605" t="s">
        <v>668</v>
      </c>
    </row>
    <row r="385" spans="1:28" s="575" customFormat="1" ht="46.5">
      <c r="A385" s="616"/>
      <c r="B385" s="576" t="s">
        <v>918</v>
      </c>
      <c r="C385" s="591"/>
      <c r="D385" s="617"/>
      <c r="E385" s="618"/>
      <c r="F385" s="619"/>
      <c r="G385" s="620"/>
      <c r="H385" s="621"/>
      <c r="I385" s="622"/>
      <c r="J385" s="623"/>
      <c r="K385" s="586"/>
      <c r="L385" s="586" t="str">
        <f t="shared" si="12"/>
        <v>JA06</v>
      </c>
      <c r="M385" s="571"/>
      <c r="N385" s="577" t="s">
        <v>611</v>
      </c>
      <c r="O385" s="577" t="s">
        <v>611</v>
      </c>
      <c r="P385" s="608" t="s">
        <v>611</v>
      </c>
      <c r="Q385" s="572"/>
      <c r="R385" s="573"/>
      <c r="S385" s="574"/>
      <c r="T385" s="574"/>
      <c r="U385" s="574"/>
      <c r="V385" s="574"/>
      <c r="W385" s="574"/>
      <c r="X385" s="572"/>
      <c r="Y385" s="572"/>
      <c r="Z385" s="572"/>
      <c r="AB385" s="573"/>
    </row>
    <row r="386" spans="1:28" s="607" customFormat="1">
      <c r="A386" s="649"/>
      <c r="B386" s="602" t="s">
        <v>690</v>
      </c>
      <c r="C386" s="613"/>
      <c r="D386" s="650">
        <v>1</v>
      </c>
      <c r="E386" s="651">
        <f>VLOOKUP(B386,'[10]auxiliar memoria'!$B$155:$E$302,2,FALSE)</f>
        <v>0.8</v>
      </c>
      <c r="F386" s="652"/>
      <c r="G386" s="653">
        <f>VLOOKUP(B386,'[10]auxiliar memoria'!$B$155:$E$302,3,FALSE)</f>
        <v>0.5</v>
      </c>
      <c r="H386" s="654">
        <f>IF(D386=0,"",IF(AND(D386&lt;0,E386*G386&gt;2),(ABS((2-(G386*E386)))*D386),IF(D386&gt;0,D386*E386*G386,0)))</f>
        <v>0.4</v>
      </c>
      <c r="I386" s="655"/>
      <c r="J386" s="656"/>
      <c r="K386" s="609">
        <f>H386</f>
        <v>0.4</v>
      </c>
      <c r="L386" s="609" t="str">
        <f>B386</f>
        <v>JA06</v>
      </c>
      <c r="M386" s="603"/>
      <c r="N386" s="577" t="s">
        <v>611</v>
      </c>
      <c r="O386" s="577" t="s">
        <v>611</v>
      </c>
      <c r="P386" s="608" t="s">
        <v>611</v>
      </c>
      <c r="Q386" s="604"/>
      <c r="R386" s="605"/>
      <c r="S386" s="606"/>
      <c r="T386" s="606"/>
      <c r="U386" s="606"/>
      <c r="V386" s="606"/>
      <c r="W386" s="606"/>
      <c r="X386" s="604"/>
      <c r="Y386" s="604"/>
      <c r="Z386" s="604"/>
      <c r="AB386" s="605" t="s">
        <v>668</v>
      </c>
    </row>
    <row r="387" spans="1:28" s="575" customFormat="1">
      <c r="A387" s="616"/>
      <c r="B387" s="576" t="s">
        <v>934</v>
      </c>
      <c r="C387" s="591"/>
      <c r="D387" s="617"/>
      <c r="E387" s="618"/>
      <c r="F387" s="619"/>
      <c r="G387" s="620"/>
      <c r="H387" s="621"/>
      <c r="I387" s="622"/>
      <c r="J387" s="623"/>
      <c r="K387" s="586"/>
      <c r="L387" s="586" t="str">
        <f t="shared" si="12"/>
        <v>JA01</v>
      </c>
      <c r="M387" s="571"/>
      <c r="N387" s="577" t="s">
        <v>611</v>
      </c>
      <c r="O387" s="577" t="s">
        <v>611</v>
      </c>
      <c r="P387" s="608" t="s">
        <v>611</v>
      </c>
      <c r="Q387" s="572"/>
      <c r="R387" s="573"/>
      <c r="S387" s="574"/>
      <c r="T387" s="574"/>
      <c r="U387" s="574"/>
      <c r="V387" s="574"/>
      <c r="W387" s="574"/>
      <c r="X387" s="572"/>
      <c r="Y387" s="572"/>
      <c r="Z387" s="572"/>
      <c r="AB387" s="573"/>
    </row>
    <row r="388" spans="1:28" s="607" customFormat="1">
      <c r="A388" s="649"/>
      <c r="B388" s="602" t="s">
        <v>685</v>
      </c>
      <c r="C388" s="613"/>
      <c r="D388" s="650">
        <v>1</v>
      </c>
      <c r="E388" s="651">
        <f>VLOOKUP(B388,'[10]auxiliar memoria'!$B$155:$E$302,2,FALSE)</f>
        <v>1.5</v>
      </c>
      <c r="F388" s="652"/>
      <c r="G388" s="653">
        <f>VLOOKUP(B388,'[10]auxiliar memoria'!$B$155:$E$302,3,FALSE)</f>
        <v>1</v>
      </c>
      <c r="H388" s="654">
        <f>IF(D388=0,"",IF(AND(D388&lt;0,E388*G388&gt;2),(ABS((2-(G388*E388)))*D388),IF(D388&gt;0,D388*E388*G388,0)))</f>
        <v>1.5</v>
      </c>
      <c r="I388" s="655"/>
      <c r="J388" s="656"/>
      <c r="K388" s="609">
        <f>H388</f>
        <v>1.5</v>
      </c>
      <c r="L388" s="609" t="str">
        <f>B388</f>
        <v>JA01</v>
      </c>
      <c r="M388" s="603"/>
      <c r="N388" s="577" t="s">
        <v>611</v>
      </c>
      <c r="O388" s="577" t="s">
        <v>611</v>
      </c>
      <c r="P388" s="608" t="s">
        <v>611</v>
      </c>
      <c r="Q388" s="604"/>
      <c r="R388" s="605"/>
      <c r="S388" s="606"/>
      <c r="T388" s="606"/>
      <c r="U388" s="606"/>
      <c r="V388" s="606"/>
      <c r="W388" s="606"/>
      <c r="X388" s="604"/>
      <c r="Y388" s="604"/>
      <c r="Z388" s="604"/>
      <c r="AB388" s="605" t="s">
        <v>668</v>
      </c>
    </row>
    <row r="389" spans="1:28" s="575" customFormat="1">
      <c r="A389" s="616"/>
      <c r="B389" s="576" t="s">
        <v>919</v>
      </c>
      <c r="C389" s="591"/>
      <c r="D389" s="617"/>
      <c r="E389" s="618"/>
      <c r="F389" s="619"/>
      <c r="G389" s="620"/>
      <c r="H389" s="621"/>
      <c r="I389" s="622"/>
      <c r="J389" s="623"/>
      <c r="K389" s="586"/>
      <c r="L389" s="586" t="str">
        <f t="shared" si="12"/>
        <v>JA06</v>
      </c>
      <c r="M389" s="571"/>
      <c r="N389" s="577" t="s">
        <v>611</v>
      </c>
      <c r="O389" s="577" t="s">
        <v>611</v>
      </c>
      <c r="P389" s="608" t="s">
        <v>611</v>
      </c>
      <c r="Q389" s="572"/>
      <c r="R389" s="573"/>
      <c r="S389" s="574"/>
      <c r="T389" s="574"/>
      <c r="U389" s="574"/>
      <c r="V389" s="574"/>
      <c r="W389" s="574"/>
      <c r="X389" s="572"/>
      <c r="Y389" s="572"/>
      <c r="Z389" s="572"/>
      <c r="AB389" s="573"/>
    </row>
    <row r="390" spans="1:28" s="607" customFormat="1">
      <c r="A390" s="649"/>
      <c r="B390" s="602" t="s">
        <v>690</v>
      </c>
      <c r="C390" s="613"/>
      <c r="D390" s="650">
        <v>1</v>
      </c>
      <c r="E390" s="651">
        <f>VLOOKUP(B390,'[10]auxiliar memoria'!$B$155:$E$302,2,FALSE)</f>
        <v>0.8</v>
      </c>
      <c r="F390" s="652"/>
      <c r="G390" s="653">
        <f>VLOOKUP(B390,'[10]auxiliar memoria'!$B$155:$E$302,3,FALSE)</f>
        <v>0.5</v>
      </c>
      <c r="H390" s="654">
        <f>IF(D390=0,"",IF(AND(D390&lt;0,E390*G390&gt;2),(ABS((2-(G390*E390)))*D390),IF(D390&gt;0,D390*E390*G390,0)))</f>
        <v>0.4</v>
      </c>
      <c r="I390" s="655"/>
      <c r="J390" s="656"/>
      <c r="K390" s="609">
        <f>H390</f>
        <v>0.4</v>
      </c>
      <c r="L390" s="609" t="str">
        <f>B390</f>
        <v>JA06</v>
      </c>
      <c r="M390" s="603"/>
      <c r="N390" s="577" t="s">
        <v>611</v>
      </c>
      <c r="O390" s="577" t="s">
        <v>611</v>
      </c>
      <c r="P390" s="608" t="s">
        <v>611</v>
      </c>
      <c r="Q390" s="604"/>
      <c r="R390" s="605"/>
      <c r="S390" s="606"/>
      <c r="T390" s="606"/>
      <c r="U390" s="606"/>
      <c r="V390" s="606"/>
      <c r="W390" s="606"/>
      <c r="X390" s="604"/>
      <c r="Y390" s="604"/>
      <c r="Z390" s="604"/>
      <c r="AB390" s="605" t="s">
        <v>668</v>
      </c>
    </row>
    <row r="391" spans="1:28" s="575" customFormat="1">
      <c r="A391" s="616"/>
      <c r="B391" s="576" t="s">
        <v>920</v>
      </c>
      <c r="C391" s="591"/>
      <c r="D391" s="617"/>
      <c r="E391" s="618"/>
      <c r="F391" s="619"/>
      <c r="G391" s="620"/>
      <c r="H391" s="621"/>
      <c r="I391" s="622"/>
      <c r="J391" s="623"/>
      <c r="K391" s="586"/>
      <c r="L391" s="586" t="str">
        <f t="shared" si="12"/>
        <v>JA06</v>
      </c>
      <c r="M391" s="571"/>
      <c r="N391" s="577" t="s">
        <v>611</v>
      </c>
      <c r="O391" s="577" t="s">
        <v>611</v>
      </c>
      <c r="P391" s="608" t="s">
        <v>611</v>
      </c>
      <c r="Q391" s="572"/>
      <c r="R391" s="573"/>
      <c r="S391" s="574"/>
      <c r="T391" s="574"/>
      <c r="U391" s="574"/>
      <c r="V391" s="574"/>
      <c r="W391" s="574"/>
      <c r="X391" s="572"/>
      <c r="Y391" s="572"/>
      <c r="Z391" s="572"/>
      <c r="AB391" s="573"/>
    </row>
    <row r="392" spans="1:28" s="607" customFormat="1" ht="33.75" customHeight="1">
      <c r="A392" s="649"/>
      <c r="B392" s="602" t="s">
        <v>690</v>
      </c>
      <c r="C392" s="613"/>
      <c r="D392" s="650">
        <v>1</v>
      </c>
      <c r="E392" s="651">
        <f>VLOOKUP(B392,'[10]auxiliar memoria'!$B$155:$E$302,2,FALSE)</f>
        <v>0.8</v>
      </c>
      <c r="F392" s="652"/>
      <c r="G392" s="653">
        <f>VLOOKUP(B392,'[10]auxiliar memoria'!$B$155:$E$302,3,FALSE)</f>
        <v>0.5</v>
      </c>
      <c r="H392" s="654">
        <f>IF(D392=0,"",IF(AND(D392&lt;0,E392*G392&gt;2),(ABS((2-(G392*E392)))*D392),IF(D392&gt;0,D392*E392*G392,0)))</f>
        <v>0.4</v>
      </c>
      <c r="I392" s="655"/>
      <c r="J392" s="656"/>
      <c r="K392" s="609">
        <f>H392</f>
        <v>0.4</v>
      </c>
      <c r="L392" s="609" t="str">
        <f>B392</f>
        <v>JA06</v>
      </c>
      <c r="M392" s="603"/>
      <c r="N392" s="577" t="s">
        <v>611</v>
      </c>
      <c r="O392" s="577" t="s">
        <v>611</v>
      </c>
      <c r="P392" s="608" t="s">
        <v>611</v>
      </c>
      <c r="Q392" s="604"/>
      <c r="R392" s="605"/>
      <c r="S392" s="606"/>
      <c r="T392" s="606"/>
      <c r="U392" s="606"/>
      <c r="V392" s="606"/>
      <c r="W392" s="606"/>
      <c r="X392" s="604"/>
      <c r="Y392" s="604"/>
      <c r="Z392" s="604"/>
      <c r="AB392" s="605" t="s">
        <v>668</v>
      </c>
    </row>
    <row r="393" spans="1:28" s="575" customFormat="1">
      <c r="A393" s="616"/>
      <c r="B393" s="576" t="s">
        <v>921</v>
      </c>
      <c r="C393" s="591"/>
      <c r="D393" s="617"/>
      <c r="E393" s="618"/>
      <c r="F393" s="619"/>
      <c r="G393" s="620"/>
      <c r="H393" s="621"/>
      <c r="I393" s="622"/>
      <c r="J393" s="623"/>
      <c r="K393" s="586"/>
      <c r="L393" s="586" t="str">
        <f t="shared" si="12"/>
        <v>JA05</v>
      </c>
      <c r="M393" s="571"/>
      <c r="N393" s="577" t="s">
        <v>611</v>
      </c>
      <c r="O393" s="577" t="s">
        <v>611</v>
      </c>
      <c r="P393" s="608" t="s">
        <v>611</v>
      </c>
      <c r="Q393" s="572"/>
      <c r="R393" s="573"/>
      <c r="S393" s="574"/>
      <c r="T393" s="574"/>
      <c r="U393" s="574"/>
      <c r="V393" s="574"/>
      <c r="W393" s="574"/>
      <c r="X393" s="572"/>
      <c r="Y393" s="572"/>
      <c r="Z393" s="572"/>
      <c r="AB393" s="573"/>
    </row>
    <row r="394" spans="1:28" s="607" customFormat="1">
      <c r="A394" s="649"/>
      <c r="B394" s="602" t="s">
        <v>689</v>
      </c>
      <c r="C394" s="613"/>
      <c r="D394" s="650">
        <v>1</v>
      </c>
      <c r="E394" s="651">
        <f>VLOOKUP(B394,'[10]auxiliar memoria'!$B$155:$E$302,2,FALSE)</f>
        <v>0.9</v>
      </c>
      <c r="F394" s="652"/>
      <c r="G394" s="653">
        <f>VLOOKUP(B394,'[10]auxiliar memoria'!$B$155:$E$302,3,FALSE)</f>
        <v>0.5</v>
      </c>
      <c r="H394" s="654">
        <f>IF(D394=0,"",IF(AND(D394&lt;0,E394*G394&gt;2),(ABS((2-(G394*E394)))*D394),IF(D394&gt;0,D394*E394*G394,0)))</f>
        <v>0.45</v>
      </c>
      <c r="I394" s="655"/>
      <c r="J394" s="656"/>
      <c r="K394" s="609">
        <f>H394</f>
        <v>0.45</v>
      </c>
      <c r="L394" s="609" t="str">
        <f>B394</f>
        <v>JA05</v>
      </c>
      <c r="M394" s="603"/>
      <c r="N394" s="577" t="s">
        <v>611</v>
      </c>
      <c r="O394" s="577" t="s">
        <v>611</v>
      </c>
      <c r="P394" s="608" t="s">
        <v>611</v>
      </c>
      <c r="Q394" s="604"/>
      <c r="R394" s="605"/>
      <c r="S394" s="606"/>
      <c r="T394" s="606"/>
      <c r="U394" s="606"/>
      <c r="V394" s="606"/>
      <c r="W394" s="606"/>
      <c r="X394" s="604"/>
      <c r="Y394" s="604"/>
      <c r="Z394" s="604"/>
      <c r="AB394" s="605" t="s">
        <v>668</v>
      </c>
    </row>
    <row r="395" spans="1:28" s="575" customFormat="1">
      <c r="A395" s="616"/>
      <c r="B395" s="576" t="s">
        <v>922</v>
      </c>
      <c r="C395" s="591"/>
      <c r="D395" s="617"/>
      <c r="E395" s="618"/>
      <c r="F395" s="619"/>
      <c r="G395" s="620"/>
      <c r="H395" s="621"/>
      <c r="I395" s="622"/>
      <c r="J395" s="623"/>
      <c r="K395" s="586"/>
      <c r="L395" s="586" t="str">
        <f t="shared" si="12"/>
        <v>JA08</v>
      </c>
      <c r="M395" s="571"/>
      <c r="N395" s="577" t="s">
        <v>611</v>
      </c>
      <c r="O395" s="577" t="s">
        <v>611</v>
      </c>
      <c r="P395" s="608" t="s">
        <v>611</v>
      </c>
      <c r="Q395" s="572"/>
      <c r="R395" s="573"/>
      <c r="S395" s="574"/>
      <c r="T395" s="574"/>
      <c r="U395" s="574"/>
      <c r="V395" s="574"/>
      <c r="W395" s="574"/>
      <c r="X395" s="572"/>
      <c r="Y395" s="572"/>
      <c r="Z395" s="572"/>
      <c r="AB395" s="573"/>
    </row>
    <row r="396" spans="1:28" s="607" customFormat="1">
      <c r="A396" s="649"/>
      <c r="B396" s="602" t="s">
        <v>692</v>
      </c>
      <c r="C396" s="613"/>
      <c r="D396" s="650">
        <v>1</v>
      </c>
      <c r="E396" s="651">
        <f>VLOOKUP(B396,'[10]auxiliar memoria'!$B$155:$E$302,2,FALSE)</f>
        <v>1.5</v>
      </c>
      <c r="F396" s="652"/>
      <c r="G396" s="653">
        <f>VLOOKUP(B396,'[10]auxiliar memoria'!$B$155:$E$302,3,FALSE)</f>
        <v>0.5</v>
      </c>
      <c r="H396" s="654">
        <f>IF(D396=0,"",IF(AND(D396&lt;0,E396*G396&gt;2),(ABS((2-(G396*E396)))*D396),IF(D396&gt;0,D396*E396*G396,0)))</f>
        <v>0.75</v>
      </c>
      <c r="I396" s="655"/>
      <c r="J396" s="656"/>
      <c r="K396" s="609">
        <f>H396</f>
        <v>0.75</v>
      </c>
      <c r="L396" s="609" t="str">
        <f>B396</f>
        <v>JA08</v>
      </c>
      <c r="M396" s="603"/>
      <c r="N396" s="577" t="s">
        <v>611</v>
      </c>
      <c r="O396" s="577" t="s">
        <v>611</v>
      </c>
      <c r="P396" s="608" t="s">
        <v>611</v>
      </c>
      <c r="Q396" s="604"/>
      <c r="R396" s="605"/>
      <c r="S396" s="606"/>
      <c r="T396" s="606"/>
      <c r="U396" s="606"/>
      <c r="V396" s="606"/>
      <c r="W396" s="606"/>
      <c r="X396" s="604"/>
      <c r="Y396" s="604"/>
      <c r="Z396" s="604"/>
      <c r="AB396" s="605" t="s">
        <v>668</v>
      </c>
    </row>
    <row r="397" spans="1:28" s="575" customFormat="1">
      <c r="A397" s="616"/>
      <c r="B397" s="576" t="s">
        <v>935</v>
      </c>
      <c r="C397" s="591"/>
      <c r="D397" s="617"/>
      <c r="E397" s="618"/>
      <c r="F397" s="619"/>
      <c r="G397" s="620"/>
      <c r="H397" s="621"/>
      <c r="I397" s="622"/>
      <c r="J397" s="623"/>
      <c r="K397" s="586"/>
      <c r="L397" s="586" t="str">
        <f t="shared" si="12"/>
        <v>JA01</v>
      </c>
      <c r="M397" s="571"/>
      <c r="N397" s="577" t="s">
        <v>611</v>
      </c>
      <c r="O397" s="577" t="s">
        <v>611</v>
      </c>
      <c r="P397" s="608" t="s">
        <v>611</v>
      </c>
      <c r="Q397" s="572"/>
      <c r="R397" s="573"/>
      <c r="S397" s="574"/>
      <c r="T397" s="574"/>
      <c r="U397" s="574"/>
      <c r="V397" s="574"/>
      <c r="W397" s="574"/>
      <c r="X397" s="572"/>
      <c r="Y397" s="572"/>
      <c r="Z397" s="572"/>
      <c r="AB397" s="573"/>
    </row>
    <row r="398" spans="1:28" s="607" customFormat="1">
      <c r="A398" s="649"/>
      <c r="B398" s="602" t="s">
        <v>685</v>
      </c>
      <c r="C398" s="613"/>
      <c r="D398" s="650">
        <v>1</v>
      </c>
      <c r="E398" s="651">
        <f>VLOOKUP(B398,'[10]auxiliar memoria'!$B$155:$E$302,2,FALSE)</f>
        <v>1.5</v>
      </c>
      <c r="F398" s="652"/>
      <c r="G398" s="653">
        <f>VLOOKUP(B398,'[10]auxiliar memoria'!$B$155:$E$302,3,FALSE)</f>
        <v>1</v>
      </c>
      <c r="H398" s="654">
        <f>IF(D398=0,"",IF(AND(D398&lt;0,E398*G398&gt;2),(ABS((2-(G398*E398)))*D398),IF(D398&gt;0,D398*E398*G398,0)))</f>
        <v>1.5</v>
      </c>
      <c r="I398" s="655"/>
      <c r="J398" s="656"/>
      <c r="K398" s="609">
        <f>H398</f>
        <v>1.5</v>
      </c>
      <c r="L398" s="609" t="str">
        <f>B398</f>
        <v>JA01</v>
      </c>
      <c r="M398" s="603"/>
      <c r="N398" s="577" t="s">
        <v>611</v>
      </c>
      <c r="O398" s="577" t="s">
        <v>611</v>
      </c>
      <c r="P398" s="608" t="s">
        <v>611</v>
      </c>
      <c r="Q398" s="604"/>
      <c r="R398" s="605"/>
      <c r="S398" s="606"/>
      <c r="T398" s="606"/>
      <c r="U398" s="606"/>
      <c r="V398" s="606"/>
      <c r="W398" s="606"/>
      <c r="X398" s="604"/>
      <c r="Y398" s="604"/>
      <c r="Z398" s="604"/>
      <c r="AB398" s="605" t="s">
        <v>668</v>
      </c>
    </row>
    <row r="399" spans="1:28" s="575" customFormat="1">
      <c r="A399" s="616"/>
      <c r="B399" s="576" t="s">
        <v>923</v>
      </c>
      <c r="C399" s="591"/>
      <c r="D399" s="617"/>
      <c r="E399" s="618"/>
      <c r="F399" s="619"/>
      <c r="G399" s="620"/>
      <c r="H399" s="621"/>
      <c r="I399" s="622"/>
      <c r="J399" s="623"/>
      <c r="K399" s="586"/>
      <c r="L399" s="586" t="str">
        <f t="shared" si="12"/>
        <v>JA05</v>
      </c>
      <c r="M399" s="571"/>
      <c r="N399" s="577" t="s">
        <v>611</v>
      </c>
      <c r="O399" s="577" t="s">
        <v>611</v>
      </c>
      <c r="P399" s="608" t="s">
        <v>611</v>
      </c>
      <c r="Q399" s="572"/>
      <c r="R399" s="573"/>
      <c r="S399" s="574"/>
      <c r="T399" s="574"/>
      <c r="U399" s="574"/>
      <c r="V399" s="574"/>
      <c r="W399" s="574"/>
      <c r="X399" s="572"/>
      <c r="Y399" s="572"/>
      <c r="Z399" s="572"/>
      <c r="AB399" s="573"/>
    </row>
    <row r="400" spans="1:28" s="607" customFormat="1">
      <c r="A400" s="649"/>
      <c r="B400" s="602" t="s">
        <v>689</v>
      </c>
      <c r="C400" s="613"/>
      <c r="D400" s="650">
        <v>1</v>
      </c>
      <c r="E400" s="651">
        <f>VLOOKUP(B400,'[10]auxiliar memoria'!$B$155:$E$302,2,FALSE)</f>
        <v>0.9</v>
      </c>
      <c r="F400" s="652"/>
      <c r="G400" s="653">
        <f>VLOOKUP(B400,'[10]auxiliar memoria'!$B$155:$E$302,3,FALSE)</f>
        <v>0.5</v>
      </c>
      <c r="H400" s="654">
        <f>IF(D400=0,"",IF(AND(D400&lt;0,E400*G400&gt;2),(ABS((2-(G400*E400)))*D400),IF(D400&gt;0,D400*E400*G400,0)))</f>
        <v>0.45</v>
      </c>
      <c r="I400" s="655"/>
      <c r="J400" s="656"/>
      <c r="K400" s="609">
        <f>H400</f>
        <v>0.45</v>
      </c>
      <c r="L400" s="609" t="str">
        <f>B400</f>
        <v>JA05</v>
      </c>
      <c r="M400" s="603"/>
      <c r="N400" s="577" t="s">
        <v>611</v>
      </c>
      <c r="O400" s="577" t="s">
        <v>611</v>
      </c>
      <c r="P400" s="608" t="s">
        <v>611</v>
      </c>
      <c r="Q400" s="604"/>
      <c r="R400" s="605"/>
      <c r="S400" s="606"/>
      <c r="T400" s="606"/>
      <c r="U400" s="606"/>
      <c r="V400" s="606"/>
      <c r="W400" s="606"/>
      <c r="X400" s="604"/>
      <c r="Y400" s="604"/>
      <c r="Z400" s="604"/>
      <c r="AB400" s="605" t="s">
        <v>668</v>
      </c>
    </row>
    <row r="401" spans="1:28" s="575" customFormat="1">
      <c r="A401" s="616"/>
      <c r="B401" s="576" t="s">
        <v>936</v>
      </c>
      <c r="C401" s="591"/>
      <c r="D401" s="617"/>
      <c r="E401" s="618"/>
      <c r="F401" s="619"/>
      <c r="G401" s="620"/>
      <c r="H401" s="621"/>
      <c r="I401" s="622"/>
      <c r="J401" s="623"/>
      <c r="K401" s="586"/>
      <c r="L401" s="586" t="str">
        <f t="shared" si="12"/>
        <v>JA01</v>
      </c>
      <c r="M401" s="571"/>
      <c r="N401" s="577" t="s">
        <v>611</v>
      </c>
      <c r="O401" s="577" t="s">
        <v>611</v>
      </c>
      <c r="P401" s="608" t="s">
        <v>611</v>
      </c>
      <c r="Q401" s="572"/>
      <c r="R401" s="573"/>
      <c r="S401" s="574"/>
      <c r="T401" s="574"/>
      <c r="U401" s="574"/>
      <c r="V401" s="574"/>
      <c r="W401" s="574"/>
      <c r="X401" s="572"/>
      <c r="Y401" s="572"/>
      <c r="Z401" s="572"/>
      <c r="AB401" s="573"/>
    </row>
    <row r="402" spans="1:28" s="607" customFormat="1">
      <c r="A402" s="649"/>
      <c r="B402" s="602" t="s">
        <v>685</v>
      </c>
      <c r="C402" s="613"/>
      <c r="D402" s="650">
        <v>1</v>
      </c>
      <c r="E402" s="651">
        <f>VLOOKUP(B402,'[10]auxiliar memoria'!$B$155:$E$302,2,FALSE)</f>
        <v>1.5</v>
      </c>
      <c r="F402" s="652"/>
      <c r="G402" s="653">
        <f>VLOOKUP(B402,'[10]auxiliar memoria'!$B$155:$E$302,3,FALSE)</f>
        <v>1</v>
      </c>
      <c r="H402" s="654">
        <f>IF(D402=0,"",IF(AND(D402&lt;0,E402*G402&gt;2),(ABS((2-(G402*E402)))*D402),IF(D402&gt;0,D402*E402*G402,0)))</f>
        <v>1.5</v>
      </c>
      <c r="I402" s="655"/>
      <c r="J402" s="656"/>
      <c r="K402" s="609">
        <f>H402</f>
        <v>1.5</v>
      </c>
      <c r="L402" s="609" t="str">
        <f>B402</f>
        <v>JA01</v>
      </c>
      <c r="M402" s="603"/>
      <c r="N402" s="577" t="s">
        <v>611</v>
      </c>
      <c r="O402" s="577" t="s">
        <v>611</v>
      </c>
      <c r="P402" s="608" t="s">
        <v>611</v>
      </c>
      <c r="Q402" s="604"/>
      <c r="R402" s="605"/>
      <c r="S402" s="606"/>
      <c r="T402" s="606"/>
      <c r="U402" s="606"/>
      <c r="V402" s="606"/>
      <c r="W402" s="606"/>
      <c r="X402" s="604"/>
      <c r="Y402" s="604"/>
      <c r="Z402" s="604"/>
      <c r="AB402" s="605" t="s">
        <v>668</v>
      </c>
    </row>
    <row r="403" spans="1:28" s="575" customFormat="1">
      <c r="A403" s="616"/>
      <c r="B403" s="576" t="s">
        <v>924</v>
      </c>
      <c r="C403" s="591"/>
      <c r="D403" s="617"/>
      <c r="E403" s="618"/>
      <c r="F403" s="619"/>
      <c r="G403" s="620"/>
      <c r="H403" s="621"/>
      <c r="I403" s="622"/>
      <c r="J403" s="623"/>
      <c r="K403" s="586"/>
      <c r="L403" s="586" t="str">
        <f t="shared" si="12"/>
        <v>JA05</v>
      </c>
      <c r="M403" s="571"/>
      <c r="N403" s="577" t="s">
        <v>611</v>
      </c>
      <c r="O403" s="577" t="s">
        <v>611</v>
      </c>
      <c r="P403" s="608" t="s">
        <v>611</v>
      </c>
      <c r="Q403" s="572"/>
      <c r="R403" s="573"/>
      <c r="S403" s="574"/>
      <c r="T403" s="574"/>
      <c r="U403" s="574"/>
      <c r="V403" s="574"/>
      <c r="W403" s="574"/>
      <c r="X403" s="572"/>
      <c r="Y403" s="572"/>
      <c r="Z403" s="572"/>
      <c r="AB403" s="573"/>
    </row>
    <row r="404" spans="1:28" s="607" customFormat="1">
      <c r="A404" s="649"/>
      <c r="B404" s="602" t="s">
        <v>689</v>
      </c>
      <c r="C404" s="613"/>
      <c r="D404" s="650">
        <v>1</v>
      </c>
      <c r="E404" s="651">
        <f>VLOOKUP(B404,'[10]auxiliar memoria'!$B$155:$E$302,2,FALSE)</f>
        <v>0.9</v>
      </c>
      <c r="F404" s="652"/>
      <c r="G404" s="653">
        <f>VLOOKUP(B404,'[10]auxiliar memoria'!$B$155:$E$302,3,FALSE)</f>
        <v>0.5</v>
      </c>
      <c r="H404" s="654">
        <f>IF(D404=0,"",IF(AND(D404&lt;0,E404*G404&gt;2),(ABS((2-(G404*E404)))*D404),IF(D404&gt;0,D404*E404*G404,0)))</f>
        <v>0.45</v>
      </c>
      <c r="I404" s="655"/>
      <c r="J404" s="656"/>
      <c r="K404" s="609">
        <f>H404</f>
        <v>0.45</v>
      </c>
      <c r="L404" s="609" t="str">
        <f>B404</f>
        <v>JA05</v>
      </c>
      <c r="M404" s="603"/>
      <c r="N404" s="577" t="s">
        <v>611</v>
      </c>
      <c r="O404" s="577" t="s">
        <v>611</v>
      </c>
      <c r="P404" s="608" t="s">
        <v>611</v>
      </c>
      <c r="Q404" s="604"/>
      <c r="R404" s="605"/>
      <c r="S404" s="606"/>
      <c r="T404" s="606"/>
      <c r="U404" s="606"/>
      <c r="V404" s="606"/>
      <c r="W404" s="606"/>
      <c r="X404" s="604"/>
      <c r="Y404" s="604"/>
      <c r="Z404" s="604"/>
      <c r="AB404" s="605" t="s">
        <v>668</v>
      </c>
    </row>
    <row r="405" spans="1:28" s="575" customFormat="1">
      <c r="A405" s="616"/>
      <c r="B405" s="576" t="s">
        <v>925</v>
      </c>
      <c r="C405" s="591"/>
      <c r="D405" s="617"/>
      <c r="E405" s="618"/>
      <c r="F405" s="619"/>
      <c r="G405" s="620"/>
      <c r="H405" s="621"/>
      <c r="I405" s="622"/>
      <c r="J405" s="623"/>
      <c r="K405" s="586"/>
      <c r="L405" s="586" t="str">
        <f t="shared" si="12"/>
        <v>JA08</v>
      </c>
      <c r="M405" s="571"/>
      <c r="N405" s="577" t="s">
        <v>611</v>
      </c>
      <c r="O405" s="577" t="s">
        <v>611</v>
      </c>
      <c r="P405" s="608" t="s">
        <v>611</v>
      </c>
      <c r="Q405" s="572"/>
      <c r="R405" s="573"/>
      <c r="S405" s="574"/>
      <c r="T405" s="574"/>
      <c r="U405" s="574"/>
      <c r="V405" s="574"/>
      <c r="W405" s="574"/>
      <c r="X405" s="572"/>
      <c r="Y405" s="572"/>
      <c r="Z405" s="572"/>
      <c r="AB405" s="573"/>
    </row>
    <row r="406" spans="1:28" s="607" customFormat="1">
      <c r="A406" s="649"/>
      <c r="B406" s="602" t="s">
        <v>692</v>
      </c>
      <c r="C406" s="613"/>
      <c r="D406" s="650">
        <v>1</v>
      </c>
      <c r="E406" s="651">
        <f>VLOOKUP(B406,'[10]auxiliar memoria'!$B$155:$E$302,2,FALSE)</f>
        <v>1.5</v>
      </c>
      <c r="F406" s="652"/>
      <c r="G406" s="653">
        <f>VLOOKUP(B406,'[10]auxiliar memoria'!$B$155:$E$302,3,FALSE)</f>
        <v>0.5</v>
      </c>
      <c r="H406" s="654">
        <f>IF(D406=0,"",IF(AND(D406&lt;0,E406*G406&gt;2),(ABS((2-(G406*E406)))*D406),IF(D406&gt;0,D406*E406*G406,0)))</f>
        <v>0.75</v>
      </c>
      <c r="I406" s="655"/>
      <c r="J406" s="656"/>
      <c r="K406" s="609">
        <f>H406</f>
        <v>0.75</v>
      </c>
      <c r="L406" s="609" t="str">
        <f>B406</f>
        <v>JA08</v>
      </c>
      <c r="M406" s="603"/>
      <c r="N406" s="577" t="s">
        <v>611</v>
      </c>
      <c r="O406" s="577" t="s">
        <v>611</v>
      </c>
      <c r="P406" s="608" t="s">
        <v>611</v>
      </c>
      <c r="Q406" s="604"/>
      <c r="R406" s="605"/>
      <c r="S406" s="606"/>
      <c r="T406" s="606"/>
      <c r="U406" s="606"/>
      <c r="V406" s="606"/>
      <c r="W406" s="606"/>
      <c r="X406" s="604"/>
      <c r="Y406" s="604"/>
      <c r="Z406" s="604"/>
      <c r="AB406" s="605" t="s">
        <v>668</v>
      </c>
    </row>
    <row r="407" spans="1:28" s="575" customFormat="1">
      <c r="A407" s="616"/>
      <c r="B407" s="576" t="s">
        <v>937</v>
      </c>
      <c r="C407" s="591"/>
      <c r="D407" s="617"/>
      <c r="E407" s="618"/>
      <c r="F407" s="619"/>
      <c r="G407" s="620"/>
      <c r="H407" s="621"/>
      <c r="I407" s="622"/>
      <c r="J407" s="623"/>
      <c r="K407" s="586"/>
      <c r="L407" s="586" t="str">
        <f t="shared" si="12"/>
        <v>JA01</v>
      </c>
      <c r="M407" s="571"/>
      <c r="N407" s="577" t="s">
        <v>611</v>
      </c>
      <c r="O407" s="577" t="s">
        <v>611</v>
      </c>
      <c r="P407" s="608" t="s">
        <v>611</v>
      </c>
      <c r="Q407" s="572"/>
      <c r="R407" s="573"/>
      <c r="S407" s="574"/>
      <c r="T407" s="574"/>
      <c r="U407" s="574"/>
      <c r="V407" s="574"/>
      <c r="W407" s="574"/>
      <c r="X407" s="572"/>
      <c r="Y407" s="572"/>
      <c r="Z407" s="572"/>
      <c r="AB407" s="573"/>
    </row>
    <row r="408" spans="1:28" s="607" customFormat="1">
      <c r="A408" s="649"/>
      <c r="B408" s="602" t="s">
        <v>685</v>
      </c>
      <c r="C408" s="613"/>
      <c r="D408" s="650">
        <v>1</v>
      </c>
      <c r="E408" s="651">
        <f>VLOOKUP(B408,'[10]auxiliar memoria'!$B$155:$E$302,2,FALSE)</f>
        <v>1.5</v>
      </c>
      <c r="F408" s="652"/>
      <c r="G408" s="653">
        <f>VLOOKUP(B408,'[10]auxiliar memoria'!$B$155:$E$302,3,FALSE)</f>
        <v>1</v>
      </c>
      <c r="H408" s="654">
        <f>IF(D408=0,"",IF(AND(D408&lt;0,E408*G408&gt;2),(ABS((2-(G408*E408)))*D408),IF(D408&gt;0,D408*E408*G408,0)))</f>
        <v>1.5</v>
      </c>
      <c r="I408" s="655"/>
      <c r="J408" s="656"/>
      <c r="K408" s="609">
        <f>H408</f>
        <v>1.5</v>
      </c>
      <c r="L408" s="609" t="str">
        <f>B408</f>
        <v>JA01</v>
      </c>
      <c r="M408" s="603"/>
      <c r="N408" s="577" t="s">
        <v>611</v>
      </c>
      <c r="O408" s="577" t="s">
        <v>611</v>
      </c>
      <c r="P408" s="608" t="s">
        <v>611</v>
      </c>
      <c r="Q408" s="604"/>
      <c r="R408" s="605"/>
      <c r="S408" s="606"/>
      <c r="T408" s="606"/>
      <c r="U408" s="606"/>
      <c r="V408" s="606"/>
      <c r="W408" s="606"/>
      <c r="X408" s="604"/>
      <c r="Y408" s="604"/>
      <c r="Z408" s="604"/>
      <c r="AB408" s="605" t="s">
        <v>668</v>
      </c>
    </row>
    <row r="409" spans="1:28" s="575" customFormat="1">
      <c r="A409" s="616"/>
      <c r="B409" s="576" t="s">
        <v>941</v>
      </c>
      <c r="C409" s="591"/>
      <c r="D409" s="617"/>
      <c r="E409" s="618"/>
      <c r="F409" s="619"/>
      <c r="G409" s="620"/>
      <c r="H409" s="621"/>
      <c r="I409" s="622"/>
      <c r="J409" s="623"/>
      <c r="K409" s="586"/>
      <c r="L409" s="586" t="str">
        <f t="shared" si="12"/>
        <v>JA03</v>
      </c>
      <c r="M409" s="571"/>
      <c r="N409" s="577" t="s">
        <v>611</v>
      </c>
      <c r="O409" s="577" t="s">
        <v>611</v>
      </c>
      <c r="P409" s="608" t="s">
        <v>611</v>
      </c>
      <c r="Q409" s="572"/>
      <c r="R409" s="573"/>
      <c r="S409" s="574"/>
      <c r="T409" s="574"/>
      <c r="U409" s="574"/>
      <c r="V409" s="574"/>
      <c r="W409" s="574"/>
      <c r="X409" s="572"/>
      <c r="Y409" s="572"/>
      <c r="Z409" s="572"/>
      <c r="AB409" s="573"/>
    </row>
    <row r="410" spans="1:28" s="607" customFormat="1">
      <c r="A410" s="649"/>
      <c r="B410" s="602" t="s">
        <v>687</v>
      </c>
      <c r="C410" s="613"/>
      <c r="D410" s="650">
        <v>1</v>
      </c>
      <c r="E410" s="651">
        <f>VLOOKUP(B410,'[10]auxiliar memoria'!$B$155:$E$302,2,FALSE)</f>
        <v>2</v>
      </c>
      <c r="F410" s="652"/>
      <c r="G410" s="653">
        <f>VLOOKUP(B410,'[10]auxiliar memoria'!$B$155:$E$302,3,FALSE)</f>
        <v>1</v>
      </c>
      <c r="H410" s="654">
        <f>IF(D410=0,"",IF(AND(D410&lt;0,E410*G410&gt;2),(ABS((2-(G410*E410)))*D410),IF(D410&gt;0,D410*E410*G410,0)))</f>
        <v>2</v>
      </c>
      <c r="I410" s="655"/>
      <c r="J410" s="656"/>
      <c r="K410" s="609">
        <f>H410</f>
        <v>2</v>
      </c>
      <c r="L410" s="609" t="str">
        <f>B410</f>
        <v>JA03</v>
      </c>
      <c r="M410" s="603"/>
      <c r="N410" s="577" t="s">
        <v>611</v>
      </c>
      <c r="O410" s="577" t="s">
        <v>611</v>
      </c>
      <c r="P410" s="608" t="s">
        <v>611</v>
      </c>
      <c r="Q410" s="604"/>
      <c r="R410" s="605"/>
      <c r="S410" s="606"/>
      <c r="T410" s="606"/>
      <c r="U410" s="606"/>
      <c r="V410" s="606"/>
      <c r="W410" s="606"/>
      <c r="X410" s="604"/>
      <c r="Y410" s="604"/>
      <c r="Z410" s="604"/>
      <c r="AB410" s="605" t="s">
        <v>668</v>
      </c>
    </row>
    <row r="411" spans="1:28" s="575" customFormat="1">
      <c r="A411" s="616"/>
      <c r="B411" s="576" t="s">
        <v>938</v>
      </c>
      <c r="C411" s="591"/>
      <c r="D411" s="617"/>
      <c r="E411" s="618"/>
      <c r="F411" s="619"/>
      <c r="G411" s="620"/>
      <c r="H411" s="621"/>
      <c r="I411" s="622"/>
      <c r="J411" s="623"/>
      <c r="K411" s="586"/>
      <c r="L411" s="586" t="str">
        <f t="shared" si="12"/>
        <v>JA01</v>
      </c>
      <c r="M411" s="571"/>
      <c r="N411" s="577" t="s">
        <v>611</v>
      </c>
      <c r="O411" s="577" t="s">
        <v>611</v>
      </c>
      <c r="P411" s="608" t="s">
        <v>611</v>
      </c>
      <c r="Q411" s="572"/>
      <c r="R411" s="573"/>
      <c r="S411" s="574"/>
      <c r="T411" s="574"/>
      <c r="U411" s="574"/>
      <c r="V411" s="574"/>
      <c r="W411" s="574"/>
      <c r="X411" s="572"/>
      <c r="Y411" s="572"/>
      <c r="Z411" s="572"/>
      <c r="AB411" s="573"/>
    </row>
    <row r="412" spans="1:28" s="607" customFormat="1">
      <c r="A412" s="649"/>
      <c r="B412" s="602" t="s">
        <v>685</v>
      </c>
      <c r="C412" s="613"/>
      <c r="D412" s="650">
        <v>1</v>
      </c>
      <c r="E412" s="651">
        <f>VLOOKUP(B412,'[10]auxiliar memoria'!$B$155:$E$302,2,FALSE)</f>
        <v>1.5</v>
      </c>
      <c r="F412" s="652"/>
      <c r="G412" s="653">
        <f>VLOOKUP(B412,'[10]auxiliar memoria'!$B$155:$E$302,3,FALSE)</f>
        <v>1</v>
      </c>
      <c r="H412" s="654">
        <f>IF(D412=0,"",IF(AND(D412&lt;0,E412*G412&gt;2),(ABS((2-(G412*E412)))*D412),IF(D412&gt;0,D412*E412*G412,0)))</f>
        <v>1.5</v>
      </c>
      <c r="I412" s="655"/>
      <c r="J412" s="656"/>
      <c r="K412" s="609">
        <f>H412</f>
        <v>1.5</v>
      </c>
      <c r="L412" s="609" t="str">
        <f>B412</f>
        <v>JA01</v>
      </c>
      <c r="M412" s="603"/>
      <c r="N412" s="577" t="s">
        <v>611</v>
      </c>
      <c r="O412" s="577" t="s">
        <v>611</v>
      </c>
      <c r="P412" s="608" t="s">
        <v>611</v>
      </c>
      <c r="Q412" s="604"/>
      <c r="R412" s="605"/>
      <c r="S412" s="606"/>
      <c r="T412" s="606"/>
      <c r="U412" s="606"/>
      <c r="V412" s="606"/>
      <c r="W412" s="606"/>
      <c r="X412" s="604"/>
      <c r="Y412" s="604"/>
      <c r="Z412" s="604"/>
      <c r="AB412" s="605" t="s">
        <v>668</v>
      </c>
    </row>
    <row r="413" spans="1:28" s="575" customFormat="1">
      <c r="A413" s="616"/>
      <c r="B413" s="576" t="s">
        <v>926</v>
      </c>
      <c r="C413" s="591"/>
      <c r="D413" s="617"/>
      <c r="E413" s="618"/>
      <c r="F413" s="619"/>
      <c r="G413" s="620"/>
      <c r="H413" s="621"/>
      <c r="I413" s="622"/>
      <c r="J413" s="623"/>
      <c r="K413" s="586"/>
      <c r="L413" s="586" t="str">
        <f t="shared" si="12"/>
        <v>JA05</v>
      </c>
      <c r="M413" s="571"/>
      <c r="N413" s="577" t="s">
        <v>611</v>
      </c>
      <c r="O413" s="577" t="s">
        <v>611</v>
      </c>
      <c r="P413" s="608" t="s">
        <v>611</v>
      </c>
      <c r="Q413" s="572"/>
      <c r="R413" s="573"/>
      <c r="S413" s="574"/>
      <c r="T413" s="574"/>
      <c r="U413" s="574"/>
      <c r="V413" s="574"/>
      <c r="W413" s="574"/>
      <c r="X413" s="572"/>
      <c r="Y413" s="572"/>
      <c r="Z413" s="572"/>
      <c r="AB413" s="573"/>
    </row>
    <row r="414" spans="1:28" s="607" customFormat="1">
      <c r="A414" s="649"/>
      <c r="B414" s="602" t="s">
        <v>689</v>
      </c>
      <c r="C414" s="613"/>
      <c r="D414" s="650">
        <v>1</v>
      </c>
      <c r="E414" s="651">
        <f>VLOOKUP(B414,'[10]auxiliar memoria'!$B$155:$E$302,2,FALSE)</f>
        <v>0.9</v>
      </c>
      <c r="F414" s="652"/>
      <c r="G414" s="653">
        <f>VLOOKUP(B414,'[10]auxiliar memoria'!$B$155:$E$302,3,FALSE)</f>
        <v>0.5</v>
      </c>
      <c r="H414" s="654">
        <f>IF(D414=0,"",IF(AND(D414&lt;0,E414*G414&gt;2),(ABS((2-(G414*E414)))*D414),IF(D414&gt;0,D414*E414*G414,0)))</f>
        <v>0.45</v>
      </c>
      <c r="I414" s="655"/>
      <c r="J414" s="656"/>
      <c r="K414" s="609">
        <f>H414</f>
        <v>0.45</v>
      </c>
      <c r="L414" s="609" t="str">
        <f>B414</f>
        <v>JA05</v>
      </c>
      <c r="M414" s="603"/>
      <c r="N414" s="577" t="s">
        <v>611</v>
      </c>
      <c r="O414" s="577" t="s">
        <v>611</v>
      </c>
      <c r="P414" s="608" t="s">
        <v>611</v>
      </c>
      <c r="Q414" s="604"/>
      <c r="R414" s="605"/>
      <c r="S414" s="606"/>
      <c r="T414" s="606"/>
      <c r="U414" s="606"/>
      <c r="V414" s="606"/>
      <c r="W414" s="606"/>
      <c r="X414" s="604"/>
      <c r="Y414" s="604"/>
      <c r="Z414" s="604"/>
      <c r="AB414" s="605" t="s">
        <v>668</v>
      </c>
    </row>
    <row r="415" spans="1:28" s="575" customFormat="1">
      <c r="A415" s="616"/>
      <c r="B415" s="576" t="s">
        <v>939</v>
      </c>
      <c r="C415" s="591"/>
      <c r="D415" s="617"/>
      <c r="E415" s="618"/>
      <c r="F415" s="619"/>
      <c r="G415" s="620"/>
      <c r="H415" s="621"/>
      <c r="I415" s="622"/>
      <c r="J415" s="623"/>
      <c r="K415" s="586"/>
      <c r="L415" s="586" t="str">
        <f t="shared" si="12"/>
        <v>JA01</v>
      </c>
      <c r="M415" s="571"/>
      <c r="N415" s="577" t="s">
        <v>611</v>
      </c>
      <c r="O415" s="577" t="s">
        <v>611</v>
      </c>
      <c r="P415" s="608" t="s">
        <v>611</v>
      </c>
      <c r="Q415" s="572"/>
      <c r="R415" s="573"/>
      <c r="S415" s="574"/>
      <c r="T415" s="574"/>
      <c r="U415" s="574"/>
      <c r="V415" s="574"/>
      <c r="W415" s="574"/>
      <c r="X415" s="572"/>
      <c r="Y415" s="572"/>
      <c r="Z415" s="572"/>
      <c r="AB415" s="573"/>
    </row>
    <row r="416" spans="1:28" s="607" customFormat="1">
      <c r="A416" s="649"/>
      <c r="B416" s="602" t="s">
        <v>685</v>
      </c>
      <c r="C416" s="613"/>
      <c r="D416" s="650">
        <v>2</v>
      </c>
      <c r="E416" s="651">
        <f>VLOOKUP(B416,'[10]auxiliar memoria'!$B$155:$E$302,2,FALSE)</f>
        <v>1.5</v>
      </c>
      <c r="F416" s="652"/>
      <c r="G416" s="653">
        <f>VLOOKUP(B416,'[10]auxiliar memoria'!$B$155:$E$302,3,FALSE)</f>
        <v>1</v>
      </c>
      <c r="H416" s="654">
        <f>IF(D416=0,"",IF(AND(D416&lt;0,E416*G416&gt;2),(ABS((2-(G416*E416)))*D416),IF(D416&gt;0,D416*E416*G416,0)))</f>
        <v>3</v>
      </c>
      <c r="I416" s="655"/>
      <c r="J416" s="656"/>
      <c r="K416" s="609">
        <f>H416</f>
        <v>3</v>
      </c>
      <c r="L416" s="609" t="str">
        <f>B416</f>
        <v>JA01</v>
      </c>
      <c r="M416" s="603"/>
      <c r="N416" s="577" t="s">
        <v>611</v>
      </c>
      <c r="O416" s="577" t="s">
        <v>611</v>
      </c>
      <c r="P416" s="608" t="s">
        <v>611</v>
      </c>
      <c r="Q416" s="604"/>
      <c r="R416" s="605"/>
      <c r="S416" s="606"/>
      <c r="T416" s="606"/>
      <c r="U416" s="606"/>
      <c r="V416" s="606"/>
      <c r="W416" s="606"/>
      <c r="X416" s="604"/>
      <c r="Y416" s="604"/>
      <c r="Z416" s="604"/>
      <c r="AB416" s="605" t="s">
        <v>668</v>
      </c>
    </row>
    <row r="417" spans="1:28" s="575" customFormat="1">
      <c r="A417" s="616"/>
      <c r="B417" s="576" t="s">
        <v>940</v>
      </c>
      <c r="C417" s="591"/>
      <c r="D417" s="617"/>
      <c r="E417" s="618"/>
      <c r="F417" s="619"/>
      <c r="G417" s="620"/>
      <c r="H417" s="621"/>
      <c r="I417" s="622"/>
      <c r="J417" s="623"/>
      <c r="K417" s="586"/>
      <c r="L417" s="586" t="str">
        <f t="shared" si="12"/>
        <v>JA02</v>
      </c>
      <c r="M417" s="571"/>
      <c r="N417" s="577" t="s">
        <v>611</v>
      </c>
      <c r="O417" s="577" t="s">
        <v>611</v>
      </c>
      <c r="P417" s="608" t="s">
        <v>611</v>
      </c>
      <c r="Q417" s="572"/>
      <c r="R417" s="573"/>
      <c r="S417" s="574"/>
      <c r="T417" s="574"/>
      <c r="U417" s="574"/>
      <c r="V417" s="574"/>
      <c r="W417" s="574"/>
      <c r="X417" s="572"/>
      <c r="Y417" s="572"/>
      <c r="Z417" s="572"/>
      <c r="AB417" s="573"/>
    </row>
    <row r="418" spans="1:28" s="607" customFormat="1">
      <c r="A418" s="649"/>
      <c r="B418" s="602" t="s">
        <v>686</v>
      </c>
      <c r="C418" s="613"/>
      <c r="D418" s="650">
        <v>1</v>
      </c>
      <c r="E418" s="651">
        <f>VLOOKUP(B418,'[10]auxiliar memoria'!$B$155:$E$302,2,FALSE)</f>
        <v>1.3</v>
      </c>
      <c r="F418" s="652"/>
      <c r="G418" s="653">
        <f>VLOOKUP(B418,'[10]auxiliar memoria'!$B$155:$E$302,3,FALSE)</f>
        <v>0.5</v>
      </c>
      <c r="H418" s="654">
        <f>IF(D418=0,"",IF(AND(D418&lt;0,E418*G418&gt;2),(ABS((2-(G418*E418)))*D418),IF(D418&gt;0,D418*E418*G418,0)))</f>
        <v>0.65</v>
      </c>
      <c r="I418" s="655"/>
      <c r="J418" s="656"/>
      <c r="K418" s="609">
        <f>H418</f>
        <v>0.65</v>
      </c>
      <c r="L418" s="609" t="str">
        <f>B418</f>
        <v>JA02</v>
      </c>
      <c r="M418" s="603"/>
      <c r="N418" s="577" t="s">
        <v>611</v>
      </c>
      <c r="O418" s="577" t="s">
        <v>611</v>
      </c>
      <c r="P418" s="608" t="s">
        <v>611</v>
      </c>
      <c r="Q418" s="604"/>
      <c r="R418" s="605"/>
      <c r="S418" s="606"/>
      <c r="T418" s="606"/>
      <c r="U418" s="606"/>
      <c r="V418" s="606"/>
      <c r="W418" s="606"/>
      <c r="X418" s="604"/>
      <c r="Y418" s="604"/>
      <c r="Z418" s="604"/>
      <c r="AB418" s="605" t="s">
        <v>668</v>
      </c>
    </row>
    <row r="419" spans="1:28" s="575" customFormat="1">
      <c r="A419" s="616"/>
      <c r="B419" s="576" t="s">
        <v>927</v>
      </c>
      <c r="C419" s="591"/>
      <c r="D419" s="617"/>
      <c r="E419" s="618"/>
      <c r="F419" s="619"/>
      <c r="G419" s="620"/>
      <c r="H419" s="621"/>
      <c r="I419" s="622"/>
      <c r="J419" s="623"/>
      <c r="K419" s="586"/>
      <c r="L419" s="586" t="str">
        <f t="shared" si="12"/>
        <v>JA05</v>
      </c>
      <c r="M419" s="571"/>
      <c r="N419" s="577" t="s">
        <v>611</v>
      </c>
      <c r="O419" s="577" t="s">
        <v>611</v>
      </c>
      <c r="P419" s="608" t="s">
        <v>611</v>
      </c>
      <c r="Q419" s="572"/>
      <c r="R419" s="573"/>
      <c r="S419" s="574"/>
      <c r="T419" s="574"/>
      <c r="U419" s="574"/>
      <c r="V419" s="574"/>
      <c r="W419" s="574"/>
      <c r="X419" s="572"/>
      <c r="Y419" s="572"/>
      <c r="Z419" s="572"/>
      <c r="AB419" s="573"/>
    </row>
    <row r="420" spans="1:28" s="607" customFormat="1">
      <c r="A420" s="649"/>
      <c r="B420" s="602" t="s">
        <v>689</v>
      </c>
      <c r="C420" s="613"/>
      <c r="D420" s="650">
        <v>1</v>
      </c>
      <c r="E420" s="651">
        <f>VLOOKUP(B420,'[10]auxiliar memoria'!$B$155:$E$302,2,FALSE)</f>
        <v>0.9</v>
      </c>
      <c r="F420" s="652"/>
      <c r="G420" s="653">
        <f>VLOOKUP(B420,'[10]auxiliar memoria'!$B$155:$E$302,3,FALSE)</f>
        <v>0.5</v>
      </c>
      <c r="H420" s="654">
        <f>IF(D420=0,"",IF(AND(D420&lt;0,E420*G420&gt;2),(ABS((2-(G420*E420)))*D420),IF(D420&gt;0,D420*E420*G420,0)))</f>
        <v>0.45</v>
      </c>
      <c r="I420" s="655"/>
      <c r="J420" s="656"/>
      <c r="K420" s="609">
        <f>H420</f>
        <v>0.45</v>
      </c>
      <c r="L420" s="609" t="str">
        <f>B420</f>
        <v>JA05</v>
      </c>
      <c r="M420" s="603"/>
      <c r="N420" s="577" t="s">
        <v>611</v>
      </c>
      <c r="O420" s="577" t="s">
        <v>611</v>
      </c>
      <c r="P420" s="608" t="s">
        <v>611</v>
      </c>
      <c r="Q420" s="604"/>
      <c r="R420" s="605"/>
      <c r="S420" s="606"/>
      <c r="T420" s="606"/>
      <c r="U420" s="606"/>
      <c r="V420" s="606"/>
      <c r="W420" s="606"/>
      <c r="X420" s="604"/>
      <c r="Y420" s="604"/>
      <c r="Z420" s="604"/>
      <c r="AB420" s="605" t="s">
        <v>668</v>
      </c>
    </row>
    <row r="421" spans="1:28" s="575" customFormat="1">
      <c r="A421" s="616"/>
      <c r="B421" s="576" t="s">
        <v>942</v>
      </c>
      <c r="C421" s="591"/>
      <c r="D421" s="617"/>
      <c r="E421" s="618"/>
      <c r="F421" s="619"/>
      <c r="G421" s="620"/>
      <c r="H421" s="621"/>
      <c r="I421" s="622"/>
      <c r="J421" s="623"/>
      <c r="K421" s="586"/>
      <c r="L421" s="586" t="str">
        <f t="shared" si="12"/>
        <v>JA10</v>
      </c>
      <c r="M421" s="571"/>
      <c r="N421" s="577" t="s">
        <v>611</v>
      </c>
      <c r="O421" s="577" t="s">
        <v>611</v>
      </c>
      <c r="P421" s="608" t="s">
        <v>611</v>
      </c>
      <c r="Q421" s="572"/>
      <c r="R421" s="573"/>
      <c r="S421" s="574"/>
      <c r="T421" s="574"/>
      <c r="U421" s="574"/>
      <c r="V421" s="574"/>
      <c r="W421" s="574"/>
      <c r="X421" s="572"/>
      <c r="Y421" s="572"/>
      <c r="Z421" s="572"/>
      <c r="AB421" s="573"/>
    </row>
    <row r="422" spans="1:28" s="607" customFormat="1">
      <c r="A422" s="649"/>
      <c r="B422" s="602" t="s">
        <v>694</v>
      </c>
      <c r="C422" s="613"/>
      <c r="D422" s="650">
        <v>1</v>
      </c>
      <c r="E422" s="651">
        <f>VLOOKUP(B422,'[10]auxiliar memoria'!$B$155:$E$302,2,FALSE)</f>
        <v>4.9499999999999993</v>
      </c>
      <c r="F422" s="652"/>
      <c r="G422" s="653">
        <f>VLOOKUP(B422,'[10]auxiliar memoria'!$B$155:$E$302,3,FALSE)</f>
        <v>1</v>
      </c>
      <c r="H422" s="654">
        <f>IF(D422=0,"",IF(AND(D422&lt;0,E422*G422&gt;2),(ABS((2-(G422*E422)))*D422),IF(D422&gt;0,D422*E422*G422,0)))</f>
        <v>4.9499999999999993</v>
      </c>
      <c r="I422" s="655"/>
      <c r="J422" s="656"/>
      <c r="K422" s="609">
        <f>H422</f>
        <v>4.9499999999999993</v>
      </c>
      <c r="L422" s="609" t="str">
        <f>B422</f>
        <v>JA10</v>
      </c>
      <c r="M422" s="603"/>
      <c r="N422" s="577" t="s">
        <v>611</v>
      </c>
      <c r="O422" s="577" t="s">
        <v>611</v>
      </c>
      <c r="P422" s="608" t="s">
        <v>611</v>
      </c>
      <c r="Q422" s="604"/>
      <c r="R422" s="605"/>
      <c r="S422" s="606"/>
      <c r="T422" s="606"/>
      <c r="U422" s="606"/>
      <c r="V422" s="606"/>
      <c r="W422" s="606"/>
      <c r="X422" s="604"/>
      <c r="Y422" s="604"/>
      <c r="Z422" s="604"/>
      <c r="AB422" s="605" t="s">
        <v>668</v>
      </c>
    </row>
    <row r="423" spans="1:28" s="478" customFormat="1">
      <c r="A423" s="463" t="s">
        <v>995</v>
      </c>
      <c r="B423" s="465" t="s">
        <v>996</v>
      </c>
      <c r="C423" s="465" t="s">
        <v>195</v>
      </c>
      <c r="D423" s="466"/>
      <c r="E423" s="467"/>
      <c r="F423" s="468"/>
      <c r="G423" s="469"/>
      <c r="H423" s="470"/>
      <c r="I423" s="471"/>
      <c r="J423" s="472"/>
      <c r="K423" s="473"/>
      <c r="L423" s="473"/>
      <c r="M423" s="474"/>
      <c r="N423" s="479"/>
      <c r="O423" s="660" t="s">
        <v>611</v>
      </c>
      <c r="P423" s="480"/>
      <c r="Q423" s="475"/>
      <c r="R423" s="476"/>
      <c r="S423" s="477"/>
      <c r="T423" s="477"/>
      <c r="U423" s="477"/>
      <c r="V423" s="477"/>
      <c r="W423" s="477"/>
      <c r="X423" s="475"/>
      <c r="Y423" s="475"/>
      <c r="Z423" s="475"/>
      <c r="AB423" s="476" t="s">
        <v>668</v>
      </c>
    </row>
    <row r="424" spans="1:28" s="575" customFormat="1">
      <c r="A424" s="616"/>
      <c r="B424" s="570" t="s">
        <v>669</v>
      </c>
      <c r="C424" s="591"/>
      <c r="D424" s="617"/>
      <c r="E424" s="618"/>
      <c r="F424" s="619"/>
      <c r="G424" s="620"/>
      <c r="H424" s="621"/>
      <c r="I424" s="622"/>
      <c r="J424" s="623"/>
      <c r="K424" s="586"/>
      <c r="L424" s="586"/>
      <c r="M424" s="571"/>
      <c r="N424" s="577" t="s">
        <v>611</v>
      </c>
      <c r="O424" s="577" t="s">
        <v>611</v>
      </c>
      <c r="P424" s="577" t="s">
        <v>611</v>
      </c>
      <c r="Q424" s="572"/>
      <c r="R424" s="573"/>
      <c r="S424" s="574"/>
      <c r="T424" s="574"/>
      <c r="U424" s="574"/>
      <c r="V424" s="574"/>
      <c r="W424" s="574"/>
      <c r="X424" s="572"/>
      <c r="Y424" s="572"/>
      <c r="Z424" s="572"/>
      <c r="AB424" s="573" t="s">
        <v>668</v>
      </c>
    </row>
    <row r="425" spans="1:28" s="575" customFormat="1">
      <c r="A425" s="616"/>
      <c r="B425" s="576" t="s">
        <v>989</v>
      </c>
      <c r="C425" s="591"/>
      <c r="D425" s="617">
        <v>1</v>
      </c>
      <c r="E425" s="618">
        <v>3.85</v>
      </c>
      <c r="F425" s="619"/>
      <c r="G425" s="620"/>
      <c r="H425" s="621"/>
      <c r="I425" s="622"/>
      <c r="J425" s="623"/>
      <c r="K425" s="586">
        <f>E425*D425</f>
        <v>3.85</v>
      </c>
      <c r="L425" s="586"/>
      <c r="M425" s="571"/>
      <c r="N425" s="577" t="s">
        <v>611</v>
      </c>
      <c r="O425" s="577" t="s">
        <v>611</v>
      </c>
      <c r="P425" s="587" t="s">
        <v>611</v>
      </c>
      <c r="Q425" s="572"/>
      <c r="R425" s="573"/>
      <c r="S425" s="574"/>
      <c r="T425" s="574"/>
      <c r="U425" s="574"/>
      <c r="V425" s="574"/>
      <c r="W425" s="574"/>
      <c r="X425" s="572"/>
      <c r="Y425" s="572"/>
      <c r="Z425" s="572"/>
      <c r="AB425" s="573" t="s">
        <v>668</v>
      </c>
    </row>
    <row r="426" spans="1:28" s="575" customFormat="1">
      <c r="A426" s="616"/>
      <c r="B426" s="576" t="s">
        <v>990</v>
      </c>
      <c r="C426" s="591"/>
      <c r="D426" s="617">
        <v>2</v>
      </c>
      <c r="E426" s="618">
        <v>3.85</v>
      </c>
      <c r="F426" s="619"/>
      <c r="G426" s="620"/>
      <c r="H426" s="621"/>
      <c r="I426" s="622"/>
      <c r="J426" s="623"/>
      <c r="K426" s="586">
        <f t="shared" ref="K426" si="13">E426*D426</f>
        <v>7.7</v>
      </c>
      <c r="L426" s="586"/>
      <c r="M426" s="571"/>
      <c r="N426" s="577" t="s">
        <v>611</v>
      </c>
      <c r="O426" s="577" t="s">
        <v>611</v>
      </c>
      <c r="P426" s="587" t="s">
        <v>611</v>
      </c>
      <c r="Q426" s="572"/>
      <c r="R426" s="573"/>
      <c r="S426" s="574"/>
      <c r="T426" s="574"/>
      <c r="U426" s="574"/>
      <c r="V426" s="574"/>
      <c r="W426" s="574"/>
      <c r="X426" s="572"/>
      <c r="Y426" s="572"/>
      <c r="Z426" s="572"/>
      <c r="AB426" s="573" t="s">
        <v>668</v>
      </c>
    </row>
    <row r="427" spans="1:28" s="575" customFormat="1">
      <c r="A427" s="616"/>
      <c r="B427" s="576"/>
      <c r="C427" s="591"/>
      <c r="D427" s="617"/>
      <c r="E427" s="618"/>
      <c r="F427" s="619"/>
      <c r="G427" s="620"/>
      <c r="H427" s="621"/>
      <c r="I427" s="622"/>
      <c r="J427" s="623"/>
      <c r="K427" s="586"/>
      <c r="L427" s="586"/>
      <c r="M427" s="571"/>
      <c r="N427" s="577"/>
      <c r="O427" s="577"/>
      <c r="P427" s="587"/>
      <c r="Q427" s="572"/>
      <c r="R427" s="573"/>
      <c r="S427" s="574"/>
      <c r="T427" s="574"/>
      <c r="U427" s="574"/>
      <c r="V427" s="574"/>
      <c r="W427" s="574"/>
      <c r="X427" s="572"/>
      <c r="Y427" s="572"/>
      <c r="Z427" s="572"/>
      <c r="AB427" s="573"/>
    </row>
    <row r="428" spans="1:28" s="478" customFormat="1">
      <c r="A428" s="463" t="s">
        <v>997</v>
      </c>
      <c r="B428" s="465" t="s">
        <v>675</v>
      </c>
      <c r="C428" s="465" t="s">
        <v>195</v>
      </c>
      <c r="D428" s="466"/>
      <c r="E428" s="467"/>
      <c r="F428" s="468"/>
      <c r="G428" s="469"/>
      <c r="H428" s="470"/>
      <c r="I428" s="471"/>
      <c r="J428" s="472"/>
      <c r="K428" s="473"/>
      <c r="L428" s="473"/>
      <c r="M428" s="474"/>
      <c r="N428" s="479"/>
      <c r="O428" s="660" t="s">
        <v>611</v>
      </c>
      <c r="P428" s="480"/>
      <c r="Q428" s="475"/>
      <c r="R428" s="476"/>
      <c r="S428" s="477"/>
      <c r="T428" s="477"/>
      <c r="U428" s="477"/>
      <c r="V428" s="477"/>
      <c r="W428" s="477"/>
      <c r="X428" s="475"/>
      <c r="Y428" s="475"/>
      <c r="Z428" s="475"/>
      <c r="AB428" s="476" t="s">
        <v>668</v>
      </c>
    </row>
    <row r="429" spans="1:28" s="575" customFormat="1" ht="29.25" customHeight="1">
      <c r="A429" s="616"/>
      <c r="B429" s="570" t="s">
        <v>669</v>
      </c>
      <c r="C429" s="591"/>
      <c r="D429" s="617"/>
      <c r="E429" s="618"/>
      <c r="F429" s="619"/>
      <c r="G429" s="620"/>
      <c r="H429" s="621"/>
      <c r="I429" s="622"/>
      <c r="J429" s="623"/>
      <c r="K429" s="586"/>
      <c r="L429" s="586"/>
      <c r="M429" s="571"/>
      <c r="N429" s="577" t="s">
        <v>611</v>
      </c>
      <c r="O429" s="577" t="s">
        <v>611</v>
      </c>
      <c r="P429" s="587" t="s">
        <v>611</v>
      </c>
      <c r="Q429" s="572"/>
      <c r="R429" s="573"/>
      <c r="S429" s="574"/>
      <c r="T429" s="574"/>
      <c r="U429" s="574"/>
      <c r="V429" s="574"/>
      <c r="W429" s="574"/>
      <c r="X429" s="572"/>
      <c r="Y429" s="572"/>
      <c r="Z429" s="572"/>
      <c r="AB429" s="573" t="s">
        <v>668</v>
      </c>
    </row>
    <row r="430" spans="1:28" s="572" customFormat="1">
      <c r="A430" s="616"/>
      <c r="B430" s="576" t="s">
        <v>989</v>
      </c>
      <c r="C430" s="576"/>
      <c r="D430" s="617">
        <v>1</v>
      </c>
      <c r="E430" s="618">
        <v>3.85</v>
      </c>
      <c r="F430" s="619"/>
      <c r="G430" s="620"/>
      <c r="H430" s="621"/>
      <c r="I430" s="622"/>
      <c r="J430" s="623"/>
      <c r="K430" s="586">
        <f>E430*D430</f>
        <v>3.85</v>
      </c>
      <c r="L430" s="586"/>
      <c r="M430" s="614"/>
      <c r="N430" s="590" t="s">
        <v>611</v>
      </c>
      <c r="O430" s="590" t="s">
        <v>611</v>
      </c>
      <c r="P430" s="587" t="s">
        <v>611</v>
      </c>
      <c r="R430" s="615"/>
      <c r="S430" s="574"/>
      <c r="T430" s="574"/>
      <c r="U430" s="574"/>
      <c r="V430" s="574"/>
      <c r="W430" s="574"/>
      <c r="AB430" s="615" t="s">
        <v>668</v>
      </c>
    </row>
    <row r="431" spans="1:28" s="572" customFormat="1">
      <c r="A431" s="616"/>
      <c r="B431" s="576" t="s">
        <v>990</v>
      </c>
      <c r="C431" s="576"/>
      <c r="D431" s="617">
        <v>1</v>
      </c>
      <c r="E431" s="618">
        <f>3.85+1.8+3.85</f>
        <v>9.5</v>
      </c>
      <c r="F431" s="619"/>
      <c r="G431" s="620"/>
      <c r="H431" s="621"/>
      <c r="I431" s="622"/>
      <c r="J431" s="623"/>
      <c r="K431" s="586">
        <f>E431*D431</f>
        <v>9.5</v>
      </c>
      <c r="L431" s="586"/>
      <c r="M431" s="614"/>
      <c r="N431" s="590" t="s">
        <v>611</v>
      </c>
      <c r="O431" s="590" t="s">
        <v>611</v>
      </c>
      <c r="P431" s="587" t="s">
        <v>611</v>
      </c>
      <c r="R431" s="615"/>
      <c r="S431" s="574"/>
      <c r="T431" s="574"/>
      <c r="U431" s="574"/>
      <c r="V431" s="574"/>
      <c r="W431" s="574"/>
      <c r="AB431" s="615" t="s">
        <v>668</v>
      </c>
    </row>
    <row r="432" spans="1:28" s="572" customFormat="1">
      <c r="A432" s="616"/>
      <c r="B432" s="576" t="s">
        <v>991</v>
      </c>
      <c r="C432" s="576"/>
      <c r="D432" s="617">
        <v>1</v>
      </c>
      <c r="E432" s="618">
        <v>5.6</v>
      </c>
      <c r="F432" s="619"/>
      <c r="G432" s="620"/>
      <c r="H432" s="621"/>
      <c r="I432" s="622"/>
      <c r="J432" s="623"/>
      <c r="K432" s="586">
        <f>E432*D432</f>
        <v>5.6</v>
      </c>
      <c r="L432" s="586"/>
      <c r="M432" s="614"/>
      <c r="N432" s="590" t="s">
        <v>611</v>
      </c>
      <c r="O432" s="590" t="s">
        <v>611</v>
      </c>
      <c r="P432" s="587" t="s">
        <v>611</v>
      </c>
      <c r="R432" s="615"/>
      <c r="S432" s="574"/>
      <c r="T432" s="574"/>
      <c r="U432" s="574"/>
      <c r="V432" s="574"/>
      <c r="W432" s="574"/>
      <c r="AB432" s="615" t="s">
        <v>668</v>
      </c>
    </row>
    <row r="433" spans="1:28" s="478" customFormat="1">
      <c r="A433" s="463" t="s">
        <v>998</v>
      </c>
      <c r="B433" s="465" t="s">
        <v>50</v>
      </c>
      <c r="C433" s="465" t="s">
        <v>195</v>
      </c>
      <c r="D433" s="466"/>
      <c r="E433" s="467"/>
      <c r="F433" s="468"/>
      <c r="G433" s="469"/>
      <c r="H433" s="470"/>
      <c r="I433" s="471"/>
      <c r="J433" s="472"/>
      <c r="K433" s="473"/>
      <c r="L433" s="473"/>
      <c r="M433" s="474"/>
      <c r="N433" s="479"/>
      <c r="O433" s="660" t="s">
        <v>611</v>
      </c>
      <c r="P433" s="480"/>
      <c r="Q433" s="475"/>
      <c r="R433" s="476"/>
      <c r="S433" s="477"/>
      <c r="T433" s="477"/>
      <c r="U433" s="477"/>
      <c r="V433" s="477"/>
      <c r="W433" s="477"/>
      <c r="X433" s="475"/>
      <c r="Y433" s="475"/>
      <c r="Z433" s="475"/>
      <c r="AB433" s="476" t="s">
        <v>668</v>
      </c>
    </row>
    <row r="434" spans="1:28" s="572" customFormat="1">
      <c r="A434" s="616"/>
      <c r="B434" s="570" t="s">
        <v>669</v>
      </c>
      <c r="C434" s="576"/>
      <c r="D434" s="617"/>
      <c r="E434" s="618"/>
      <c r="F434" s="619"/>
      <c r="G434" s="620"/>
      <c r="H434" s="621"/>
      <c r="I434" s="622"/>
      <c r="J434" s="623"/>
      <c r="K434" s="586"/>
      <c r="L434" s="586"/>
      <c r="M434" s="614"/>
      <c r="N434" s="590" t="s">
        <v>611</v>
      </c>
      <c r="O434" s="590" t="s">
        <v>611</v>
      </c>
      <c r="P434" s="590" t="s">
        <v>611</v>
      </c>
      <c r="R434" s="615"/>
      <c r="S434" s="574"/>
      <c r="T434" s="574"/>
      <c r="U434" s="574"/>
      <c r="V434" s="574"/>
      <c r="W434" s="574"/>
      <c r="AB434" s="615" t="s">
        <v>668</v>
      </c>
    </row>
    <row r="435" spans="1:28" s="572" customFormat="1">
      <c r="A435" s="616"/>
      <c r="B435" s="576" t="s">
        <v>992</v>
      </c>
      <c r="C435" s="576"/>
      <c r="D435" s="617">
        <v>1</v>
      </c>
      <c r="E435" s="618">
        <v>4.75</v>
      </c>
      <c r="F435" s="619"/>
      <c r="G435" s="620"/>
      <c r="H435" s="621"/>
      <c r="I435" s="622"/>
      <c r="J435" s="623"/>
      <c r="K435" s="586">
        <f>E435*D435</f>
        <v>4.75</v>
      </c>
      <c r="L435" s="586"/>
      <c r="M435" s="614"/>
      <c r="N435" s="590" t="s">
        <v>611</v>
      </c>
      <c r="O435" s="590" t="s">
        <v>611</v>
      </c>
      <c r="P435" s="587" t="s">
        <v>611</v>
      </c>
      <c r="R435" s="615"/>
      <c r="S435" s="574"/>
      <c r="T435" s="574"/>
      <c r="U435" s="574"/>
      <c r="V435" s="574"/>
      <c r="W435" s="574"/>
      <c r="AB435" s="615" t="s">
        <v>668</v>
      </c>
    </row>
    <row r="436" spans="1:28" s="478" customFormat="1">
      <c r="A436" s="463"/>
      <c r="B436" s="464" t="s">
        <v>678</v>
      </c>
      <c r="C436" s="465" t="s">
        <v>195</v>
      </c>
      <c r="D436" s="466"/>
      <c r="E436" s="467"/>
      <c r="F436" s="468"/>
      <c r="G436" s="469"/>
      <c r="H436" s="470"/>
      <c r="I436" s="471"/>
      <c r="J436" s="472"/>
      <c r="K436" s="473"/>
      <c r="L436" s="473"/>
      <c r="M436" s="474"/>
      <c r="N436" s="462" t="s">
        <v>55</v>
      </c>
      <c r="O436" s="462" t="s">
        <v>202</v>
      </c>
      <c r="P436" s="481" t="s">
        <v>181</v>
      </c>
      <c r="Q436" s="475"/>
      <c r="R436" s="476"/>
      <c r="S436" s="477"/>
      <c r="T436" s="477"/>
      <c r="U436" s="477"/>
      <c r="V436" s="477"/>
      <c r="W436" s="477"/>
      <c r="X436" s="475"/>
      <c r="Y436" s="475"/>
      <c r="Z436" s="475"/>
      <c r="AB436" s="476"/>
    </row>
    <row r="437" spans="1:28" s="575" customFormat="1">
      <c r="A437" s="616"/>
      <c r="B437" s="570" t="s">
        <v>669</v>
      </c>
      <c r="C437" s="591"/>
      <c r="D437" s="617"/>
      <c r="E437" s="618"/>
      <c r="F437" s="619"/>
      <c r="G437" s="620"/>
      <c r="H437" s="621"/>
      <c r="I437" s="622"/>
      <c r="J437" s="623"/>
      <c r="K437" s="586"/>
      <c r="L437" s="586"/>
      <c r="M437" s="571"/>
      <c r="N437" s="577" t="s">
        <v>611</v>
      </c>
      <c r="O437" s="577" t="s">
        <v>611</v>
      </c>
      <c r="P437" s="577" t="s">
        <v>611</v>
      </c>
      <c r="Q437" s="572"/>
      <c r="R437" s="573"/>
      <c r="S437" s="574"/>
      <c r="T437" s="574"/>
      <c r="U437" s="574"/>
      <c r="V437" s="574"/>
      <c r="W437" s="574"/>
      <c r="X437" s="572"/>
      <c r="Y437" s="572"/>
      <c r="Z437" s="572"/>
      <c r="AB437" s="573" t="s">
        <v>668</v>
      </c>
    </row>
    <row r="438" spans="1:28" s="575" customFormat="1">
      <c r="A438" s="616"/>
      <c r="B438" s="591" t="s">
        <v>666</v>
      </c>
      <c r="C438" s="591"/>
      <c r="D438" s="617"/>
      <c r="E438" s="618"/>
      <c r="F438" s="619"/>
      <c r="G438" s="620"/>
      <c r="H438" s="622"/>
      <c r="I438" s="622"/>
      <c r="J438" s="623"/>
      <c r="K438" s="586"/>
      <c r="L438" s="586"/>
      <c r="M438" s="571"/>
      <c r="N438" s="577" t="s">
        <v>611</v>
      </c>
      <c r="O438" s="577" t="s">
        <v>611</v>
      </c>
      <c r="P438" s="577" t="s">
        <v>611</v>
      </c>
      <c r="Q438" s="572"/>
      <c r="R438" s="573"/>
      <c r="S438" s="574"/>
      <c r="T438" s="574"/>
      <c r="U438" s="574"/>
      <c r="V438" s="574"/>
      <c r="W438" s="574"/>
      <c r="X438" s="572"/>
      <c r="Y438" s="572"/>
      <c r="Z438" s="572"/>
      <c r="AB438" s="573" t="s">
        <v>668</v>
      </c>
    </row>
    <row r="439" spans="1:28" s="575" customFormat="1">
      <c r="A439" s="616"/>
      <c r="B439" s="576" t="s">
        <v>772</v>
      </c>
      <c r="C439" s="591"/>
      <c r="D439" s="617"/>
      <c r="E439" s="618">
        <v>3.5</v>
      </c>
      <c r="F439" s="619"/>
      <c r="G439" s="620">
        <v>3</v>
      </c>
      <c r="H439" s="621">
        <f>G439*E439</f>
        <v>10.5</v>
      </c>
      <c r="I439" s="622"/>
      <c r="J439" s="623"/>
      <c r="K439" s="586">
        <f>H439</f>
        <v>10.5</v>
      </c>
      <c r="L439" s="586"/>
      <c r="M439" s="571"/>
      <c r="N439" s="590" t="s">
        <v>611</v>
      </c>
      <c r="O439" s="590" t="s">
        <v>611</v>
      </c>
      <c r="P439" s="587" t="s">
        <v>611</v>
      </c>
      <c r="Q439" s="572"/>
      <c r="R439" s="573"/>
      <c r="S439" s="574"/>
      <c r="T439" s="574"/>
      <c r="U439" s="574"/>
      <c r="V439" s="574"/>
      <c r="W439" s="574"/>
      <c r="X439" s="572"/>
      <c r="Y439" s="572"/>
      <c r="Z439" s="572"/>
      <c r="AB439" s="573"/>
    </row>
    <row r="440" spans="1:28" s="599" customFormat="1" ht="20.25">
      <c r="A440" s="624"/>
      <c r="B440" s="592" t="s">
        <v>688</v>
      </c>
      <c r="C440" s="625"/>
      <c r="D440" s="626">
        <v>-1</v>
      </c>
      <c r="E440" s="627">
        <f>VLOOKUP(B440,'[10]auxiliar memoria'!$B$155:$E$302,2,FALSE)</f>
        <v>3.55</v>
      </c>
      <c r="F440" s="628"/>
      <c r="G440" s="629">
        <f>VLOOKUP(B440,'[10]auxiliar memoria'!$B$155:$E$302,3,FALSE)</f>
        <v>1</v>
      </c>
      <c r="H440" s="629">
        <f>IF(D440=0,"",IF(AND(D440&lt;0,E440*G440&gt;2),(ABS((2-(G440*E440)))*D440),IF(D440&gt;0,D440*E440*G440,0)))</f>
        <v>-1.5499999999999998</v>
      </c>
      <c r="I440" s="630"/>
      <c r="J440" s="631"/>
      <c r="K440" s="593">
        <f>H440</f>
        <v>-1.5499999999999998</v>
      </c>
      <c r="L440" s="593"/>
      <c r="M440" s="594"/>
      <c r="N440" s="595" t="s">
        <v>611</v>
      </c>
      <c r="O440" s="595">
        <v>5</v>
      </c>
      <c r="P440" s="595" t="s">
        <v>611</v>
      </c>
      <c r="Q440" s="596"/>
      <c r="R440" s="597"/>
      <c r="S440" s="598"/>
      <c r="T440" s="598"/>
      <c r="U440" s="598"/>
      <c r="V440" s="598"/>
      <c r="W440" s="598"/>
      <c r="X440" s="596"/>
      <c r="Y440" s="596"/>
      <c r="Z440" s="596"/>
      <c r="AB440" s="597" t="s">
        <v>668</v>
      </c>
    </row>
    <row r="441" spans="1:28" s="575" customFormat="1">
      <c r="A441" s="616"/>
      <c r="B441" s="576" t="s">
        <v>773</v>
      </c>
      <c r="C441" s="591"/>
      <c r="D441" s="617"/>
      <c r="E441" s="618">
        <v>64.05</v>
      </c>
      <c r="F441" s="619"/>
      <c r="G441" s="620">
        <v>3</v>
      </c>
      <c r="H441" s="621">
        <f>G441*E441</f>
        <v>192.14999999999998</v>
      </c>
      <c r="I441" s="622"/>
      <c r="J441" s="623"/>
      <c r="K441" s="586">
        <f t="shared" ref="K441:K485" si="14">H441</f>
        <v>192.14999999999998</v>
      </c>
      <c r="L441" s="586"/>
      <c r="M441" s="571"/>
      <c r="N441" s="590" t="s">
        <v>611</v>
      </c>
      <c r="O441" s="590" t="s">
        <v>611</v>
      </c>
      <c r="P441" s="587" t="s">
        <v>611</v>
      </c>
      <c r="Q441" s="572"/>
      <c r="R441" s="573"/>
      <c r="S441" s="574"/>
      <c r="T441" s="574"/>
      <c r="U441" s="574"/>
      <c r="V441" s="574"/>
      <c r="W441" s="574"/>
      <c r="X441" s="572"/>
      <c r="Y441" s="572"/>
      <c r="Z441" s="572"/>
      <c r="AB441" s="573"/>
    </row>
    <row r="442" spans="1:28" s="599" customFormat="1" ht="20.25">
      <c r="A442" s="624"/>
      <c r="B442" s="592" t="s">
        <v>835</v>
      </c>
      <c r="C442" s="625"/>
      <c r="D442" s="626">
        <v>-1</v>
      </c>
      <c r="E442" s="627">
        <f>VLOOKUP(B442,'[10]auxiliar memoria'!$B$155:$E$302,2,FALSE)</f>
        <v>1</v>
      </c>
      <c r="F442" s="628"/>
      <c r="G442" s="629">
        <f>VLOOKUP(B442,'[10]auxiliar memoria'!$B$155:$E$302,3,FALSE)</f>
        <v>2.1</v>
      </c>
      <c r="H442" s="629">
        <f>IF(D442=0,"",IF(AND(D442&lt;0,E442*G442&gt;2),(ABS((2-(G442*E442)))*D442),IF(D442&gt;0,D442*E442*G442,0)))</f>
        <v>-0.10000000000000009</v>
      </c>
      <c r="I442" s="630"/>
      <c r="J442" s="631"/>
      <c r="K442" s="593">
        <f>H442</f>
        <v>-0.10000000000000009</v>
      </c>
      <c r="L442" s="593"/>
      <c r="M442" s="594"/>
      <c r="N442" s="595" t="s">
        <v>611</v>
      </c>
      <c r="O442" s="595">
        <v>5</v>
      </c>
      <c r="P442" s="595" t="s">
        <v>611</v>
      </c>
      <c r="Q442" s="596"/>
      <c r="R442" s="597"/>
      <c r="S442" s="598"/>
      <c r="T442" s="598"/>
      <c r="U442" s="598"/>
      <c r="V442" s="598"/>
      <c r="W442" s="598"/>
      <c r="X442" s="596"/>
      <c r="Y442" s="596"/>
      <c r="Z442" s="596"/>
      <c r="AB442" s="597" t="s">
        <v>668</v>
      </c>
    </row>
    <row r="443" spans="1:28" s="575" customFormat="1">
      <c r="A443" s="616"/>
      <c r="B443" s="576" t="s">
        <v>774</v>
      </c>
      <c r="C443" s="591"/>
      <c r="D443" s="617"/>
      <c r="E443" s="618">
        <v>1.8</v>
      </c>
      <c r="F443" s="619"/>
      <c r="G443" s="620">
        <v>0.3</v>
      </c>
      <c r="H443" s="621">
        <f>G443*E443</f>
        <v>0.54</v>
      </c>
      <c r="I443" s="622"/>
      <c r="J443" s="623"/>
      <c r="K443" s="586">
        <f t="shared" si="14"/>
        <v>0.54</v>
      </c>
      <c r="L443" s="586"/>
      <c r="M443" s="571"/>
      <c r="N443" s="590" t="s">
        <v>611</v>
      </c>
      <c r="O443" s="590" t="s">
        <v>611</v>
      </c>
      <c r="P443" s="587" t="s">
        <v>611</v>
      </c>
      <c r="Q443" s="572"/>
      <c r="R443" s="573"/>
      <c r="S443" s="574"/>
      <c r="T443" s="574"/>
      <c r="U443" s="574"/>
      <c r="V443" s="574"/>
      <c r="W443" s="574"/>
      <c r="X443" s="572"/>
      <c r="Y443" s="572"/>
      <c r="Z443" s="572"/>
      <c r="AB443" s="573"/>
    </row>
    <row r="444" spans="1:28" s="599" customFormat="1" ht="20.25">
      <c r="A444" s="624"/>
      <c r="B444" s="592" t="s">
        <v>835</v>
      </c>
      <c r="C444" s="625"/>
      <c r="D444" s="626">
        <v>-1</v>
      </c>
      <c r="E444" s="627">
        <f>VLOOKUP(B444,'[10]auxiliar memoria'!$B$155:$E$302,2,FALSE)</f>
        <v>1</v>
      </c>
      <c r="F444" s="628"/>
      <c r="G444" s="629">
        <f>VLOOKUP(B444,'[10]auxiliar memoria'!$B$155:$E$302,3,FALSE)</f>
        <v>2.1</v>
      </c>
      <c r="H444" s="629">
        <f>IF(D444=0,"",IF(AND(D444&lt;0,E444*G444&gt;2),(ABS((2-(G444*E444)))*D444),IF(D444&gt;0,D444*E444*G444,0)))</f>
        <v>-0.10000000000000009</v>
      </c>
      <c r="I444" s="630"/>
      <c r="J444" s="631"/>
      <c r="K444" s="593">
        <f t="shared" si="14"/>
        <v>-0.10000000000000009</v>
      </c>
      <c r="L444" s="593"/>
      <c r="M444" s="594"/>
      <c r="N444" s="595" t="s">
        <v>611</v>
      </c>
      <c r="O444" s="595">
        <v>5</v>
      </c>
      <c r="P444" s="595" t="s">
        <v>611</v>
      </c>
      <c r="Q444" s="596"/>
      <c r="R444" s="597"/>
      <c r="S444" s="598"/>
      <c r="T444" s="598"/>
      <c r="U444" s="598"/>
      <c r="V444" s="598"/>
      <c r="W444" s="598"/>
      <c r="X444" s="596"/>
      <c r="Y444" s="596"/>
      <c r="Z444" s="596"/>
      <c r="AB444" s="597" t="s">
        <v>668</v>
      </c>
    </row>
    <row r="445" spans="1:28" s="575" customFormat="1">
      <c r="A445" s="616"/>
      <c r="B445" s="576" t="s">
        <v>775</v>
      </c>
      <c r="C445" s="591"/>
      <c r="D445" s="617"/>
      <c r="E445" s="618">
        <v>15.35</v>
      </c>
      <c r="F445" s="619"/>
      <c r="G445" s="620">
        <v>3</v>
      </c>
      <c r="H445" s="621">
        <f>G445*E445</f>
        <v>46.05</v>
      </c>
      <c r="I445" s="622"/>
      <c r="J445" s="623"/>
      <c r="K445" s="586">
        <f>H445</f>
        <v>46.05</v>
      </c>
      <c r="L445" s="586"/>
      <c r="M445" s="571"/>
      <c r="N445" s="590" t="s">
        <v>611</v>
      </c>
      <c r="O445" s="590" t="s">
        <v>611</v>
      </c>
      <c r="P445" s="587" t="s">
        <v>611</v>
      </c>
      <c r="Q445" s="572"/>
      <c r="R445" s="573"/>
      <c r="S445" s="574"/>
      <c r="T445" s="574"/>
      <c r="U445" s="574"/>
      <c r="V445" s="574"/>
      <c r="W445" s="574"/>
      <c r="X445" s="572"/>
      <c r="Y445" s="572"/>
      <c r="Z445" s="572"/>
      <c r="AB445" s="573"/>
    </row>
    <row r="446" spans="1:28" s="575" customFormat="1">
      <c r="A446" s="616"/>
      <c r="B446" s="576" t="s">
        <v>776</v>
      </c>
      <c r="C446" s="591"/>
      <c r="D446" s="617"/>
      <c r="E446" s="618">
        <v>2.1</v>
      </c>
      <c r="F446" s="619"/>
      <c r="G446" s="620">
        <v>0.3</v>
      </c>
      <c r="H446" s="621">
        <f>G446*E446</f>
        <v>0.63</v>
      </c>
      <c r="I446" s="622"/>
      <c r="J446" s="623"/>
      <c r="K446" s="586">
        <f t="shared" si="14"/>
        <v>0.63</v>
      </c>
      <c r="L446" s="586"/>
      <c r="M446" s="571"/>
      <c r="N446" s="590" t="s">
        <v>611</v>
      </c>
      <c r="O446" s="590" t="s">
        <v>611</v>
      </c>
      <c r="P446" s="587" t="s">
        <v>611</v>
      </c>
      <c r="Q446" s="572"/>
      <c r="R446" s="573"/>
      <c r="S446" s="574"/>
      <c r="T446" s="574"/>
      <c r="U446" s="574"/>
      <c r="V446" s="574"/>
      <c r="W446" s="574"/>
      <c r="X446" s="572"/>
      <c r="Y446" s="572"/>
      <c r="Z446" s="572"/>
      <c r="AB446" s="573"/>
    </row>
    <row r="447" spans="1:28" s="575" customFormat="1">
      <c r="A447" s="616"/>
      <c r="B447" s="576" t="s">
        <v>777</v>
      </c>
      <c r="C447" s="591"/>
      <c r="D447" s="617"/>
      <c r="E447" s="618">
        <v>38.450000000000003</v>
      </c>
      <c r="F447" s="619"/>
      <c r="G447" s="620">
        <v>3</v>
      </c>
      <c r="H447" s="621">
        <f>G447*E447</f>
        <v>115.35000000000001</v>
      </c>
      <c r="I447" s="622"/>
      <c r="J447" s="623"/>
      <c r="K447" s="586">
        <f t="shared" si="14"/>
        <v>115.35000000000001</v>
      </c>
      <c r="L447" s="586"/>
      <c r="M447" s="571"/>
      <c r="N447" s="590" t="s">
        <v>611</v>
      </c>
      <c r="O447" s="590" t="s">
        <v>611</v>
      </c>
      <c r="P447" s="587" t="s">
        <v>611</v>
      </c>
      <c r="Q447" s="572"/>
      <c r="R447" s="573"/>
      <c r="S447" s="574"/>
      <c r="T447" s="574"/>
      <c r="U447" s="574"/>
      <c r="V447" s="574"/>
      <c r="W447" s="574"/>
      <c r="X447" s="572"/>
      <c r="Y447" s="572"/>
      <c r="Z447" s="572"/>
      <c r="AB447" s="573"/>
    </row>
    <row r="448" spans="1:28" s="575" customFormat="1">
      <c r="A448" s="616"/>
      <c r="B448" s="576" t="s">
        <v>778</v>
      </c>
      <c r="C448" s="591"/>
      <c r="D448" s="617"/>
      <c r="E448" s="618">
        <v>2.4</v>
      </c>
      <c r="F448" s="619"/>
      <c r="G448" s="620">
        <v>3</v>
      </c>
      <c r="H448" s="621">
        <f t="shared" ref="H448:H485" si="15">G448*E448</f>
        <v>7.1999999999999993</v>
      </c>
      <c r="I448" s="622"/>
      <c r="J448" s="623"/>
      <c r="K448" s="586">
        <f t="shared" si="14"/>
        <v>7.1999999999999993</v>
      </c>
      <c r="L448" s="586"/>
      <c r="M448" s="571"/>
      <c r="N448" s="590" t="s">
        <v>611</v>
      </c>
      <c r="O448" s="590" t="s">
        <v>611</v>
      </c>
      <c r="P448" s="587" t="s">
        <v>611</v>
      </c>
      <c r="Q448" s="572"/>
      <c r="R448" s="573"/>
      <c r="S448" s="574"/>
      <c r="T448" s="574"/>
      <c r="U448" s="574"/>
      <c r="V448" s="574"/>
      <c r="W448" s="574"/>
      <c r="X448" s="572"/>
      <c r="Y448" s="572"/>
      <c r="Z448" s="572"/>
      <c r="AB448" s="573"/>
    </row>
    <row r="449" spans="1:28" s="575" customFormat="1">
      <c r="A449" s="616"/>
      <c r="B449" s="576" t="s">
        <v>779</v>
      </c>
      <c r="C449" s="591"/>
      <c r="D449" s="617"/>
      <c r="E449" s="618">
        <v>6</v>
      </c>
      <c r="F449" s="619"/>
      <c r="G449" s="620">
        <v>3</v>
      </c>
      <c r="H449" s="621">
        <f t="shared" si="15"/>
        <v>18</v>
      </c>
      <c r="I449" s="622"/>
      <c r="J449" s="623"/>
      <c r="K449" s="586">
        <f>H449</f>
        <v>18</v>
      </c>
      <c r="L449" s="586"/>
      <c r="M449" s="571"/>
      <c r="N449" s="577" t="s">
        <v>611</v>
      </c>
      <c r="O449" s="577">
        <v>1</v>
      </c>
      <c r="P449" s="577" t="s">
        <v>611</v>
      </c>
      <c r="Q449" s="572"/>
      <c r="R449" s="573"/>
      <c r="S449" s="574"/>
      <c r="T449" s="574"/>
      <c r="U449" s="574"/>
      <c r="V449" s="574"/>
      <c r="W449" s="574"/>
      <c r="X449" s="572"/>
      <c r="Y449" s="572"/>
      <c r="Z449" s="572"/>
      <c r="AB449" s="573" t="s">
        <v>668</v>
      </c>
    </row>
    <row r="450" spans="1:28" s="575" customFormat="1">
      <c r="A450" s="616"/>
      <c r="B450" s="576" t="s">
        <v>780</v>
      </c>
      <c r="C450" s="591"/>
      <c r="D450" s="617"/>
      <c r="E450" s="618">
        <v>4.25</v>
      </c>
      <c r="F450" s="619"/>
      <c r="G450" s="620">
        <v>3</v>
      </c>
      <c r="H450" s="621">
        <f t="shared" si="15"/>
        <v>12.75</v>
      </c>
      <c r="I450" s="622"/>
      <c r="J450" s="623"/>
      <c r="K450" s="586">
        <f t="shared" si="14"/>
        <v>12.75</v>
      </c>
      <c r="L450" s="586"/>
      <c r="M450" s="571"/>
      <c r="N450" s="590" t="s">
        <v>611</v>
      </c>
      <c r="O450" s="590" t="s">
        <v>611</v>
      </c>
      <c r="P450" s="587" t="s">
        <v>611</v>
      </c>
      <c r="Q450" s="572"/>
      <c r="R450" s="573"/>
      <c r="S450" s="574"/>
      <c r="T450" s="574"/>
      <c r="U450" s="574"/>
      <c r="V450" s="574"/>
      <c r="W450" s="574"/>
      <c r="X450" s="572"/>
      <c r="Y450" s="572"/>
      <c r="Z450" s="572"/>
      <c r="AB450" s="573"/>
    </row>
    <row r="451" spans="1:28" s="575" customFormat="1">
      <c r="A451" s="616"/>
      <c r="B451" s="576" t="s">
        <v>781</v>
      </c>
      <c r="C451" s="591"/>
      <c r="D451" s="617"/>
      <c r="E451" s="618">
        <v>4</v>
      </c>
      <c r="F451" s="619"/>
      <c r="G451" s="620">
        <v>3</v>
      </c>
      <c r="H451" s="621">
        <f t="shared" si="15"/>
        <v>12</v>
      </c>
      <c r="I451" s="622"/>
      <c r="J451" s="623"/>
      <c r="K451" s="586">
        <f t="shared" si="14"/>
        <v>12</v>
      </c>
      <c r="L451" s="586"/>
      <c r="M451" s="571"/>
      <c r="N451" s="590" t="s">
        <v>611</v>
      </c>
      <c r="O451" s="590" t="s">
        <v>611</v>
      </c>
      <c r="P451" s="587" t="s">
        <v>611</v>
      </c>
      <c r="Q451" s="572"/>
      <c r="R451" s="573"/>
      <c r="S451" s="574"/>
      <c r="T451" s="574"/>
      <c r="U451" s="574"/>
      <c r="V451" s="574"/>
      <c r="W451" s="574"/>
      <c r="X451" s="572"/>
      <c r="Y451" s="572"/>
      <c r="Z451" s="572"/>
      <c r="AB451" s="573"/>
    </row>
    <row r="452" spans="1:28" s="575" customFormat="1">
      <c r="A452" s="616"/>
      <c r="B452" s="576" t="s">
        <v>782</v>
      </c>
      <c r="C452" s="591"/>
      <c r="D452" s="617"/>
      <c r="E452" s="618">
        <f>1+1.1</f>
        <v>2.1</v>
      </c>
      <c r="F452" s="619"/>
      <c r="G452" s="620">
        <v>3</v>
      </c>
      <c r="H452" s="621">
        <f t="shared" si="15"/>
        <v>6.3000000000000007</v>
      </c>
      <c r="I452" s="622"/>
      <c r="J452" s="623"/>
      <c r="K452" s="586">
        <f t="shared" si="14"/>
        <v>6.3000000000000007</v>
      </c>
      <c r="L452" s="586"/>
      <c r="M452" s="571"/>
      <c r="N452" s="590" t="s">
        <v>611</v>
      </c>
      <c r="O452" s="590" t="s">
        <v>611</v>
      </c>
      <c r="P452" s="587" t="s">
        <v>611</v>
      </c>
      <c r="Q452" s="572"/>
      <c r="R452" s="573"/>
      <c r="S452" s="574"/>
      <c r="T452" s="574"/>
      <c r="U452" s="574"/>
      <c r="V452" s="574"/>
      <c r="W452" s="574"/>
      <c r="X452" s="572"/>
      <c r="Y452" s="572"/>
      <c r="Z452" s="572"/>
      <c r="AB452" s="573"/>
    </row>
    <row r="453" spans="1:28" s="575" customFormat="1">
      <c r="A453" s="616"/>
      <c r="B453" s="576" t="s">
        <v>783</v>
      </c>
      <c r="C453" s="591"/>
      <c r="D453" s="617"/>
      <c r="E453" s="618">
        <v>6</v>
      </c>
      <c r="F453" s="619"/>
      <c r="G453" s="620">
        <v>3</v>
      </c>
      <c r="H453" s="621">
        <f t="shared" si="15"/>
        <v>18</v>
      </c>
      <c r="I453" s="622"/>
      <c r="J453" s="623"/>
      <c r="K453" s="586">
        <f t="shared" si="14"/>
        <v>18</v>
      </c>
      <c r="L453" s="586"/>
      <c r="M453" s="571"/>
      <c r="N453" s="590" t="s">
        <v>611</v>
      </c>
      <c r="O453" s="590" t="s">
        <v>611</v>
      </c>
      <c r="P453" s="587" t="s">
        <v>611</v>
      </c>
      <c r="Q453" s="572"/>
      <c r="R453" s="573"/>
      <c r="S453" s="574"/>
      <c r="T453" s="574"/>
      <c r="U453" s="574"/>
      <c r="V453" s="574"/>
      <c r="W453" s="574"/>
      <c r="X453" s="572"/>
      <c r="Y453" s="572"/>
      <c r="Z453" s="572"/>
      <c r="AB453" s="573"/>
    </row>
    <row r="454" spans="1:28" s="575" customFormat="1" ht="46.5">
      <c r="A454" s="616"/>
      <c r="B454" s="576" t="s">
        <v>784</v>
      </c>
      <c r="C454" s="591"/>
      <c r="D454" s="617"/>
      <c r="E454" s="618">
        <v>3.65</v>
      </c>
      <c r="F454" s="619"/>
      <c r="G454" s="620">
        <v>3</v>
      </c>
      <c r="H454" s="621">
        <f t="shared" si="15"/>
        <v>10.95</v>
      </c>
      <c r="I454" s="622"/>
      <c r="J454" s="623"/>
      <c r="K454" s="586">
        <f t="shared" si="14"/>
        <v>10.95</v>
      </c>
      <c r="L454" s="586"/>
      <c r="M454" s="571"/>
      <c r="N454" s="590" t="s">
        <v>611</v>
      </c>
      <c r="O454" s="590" t="s">
        <v>611</v>
      </c>
      <c r="P454" s="587" t="s">
        <v>611</v>
      </c>
      <c r="Q454" s="572"/>
      <c r="R454" s="573"/>
      <c r="S454" s="574"/>
      <c r="T454" s="574"/>
      <c r="U454" s="574"/>
      <c r="V454" s="574"/>
      <c r="W454" s="574"/>
      <c r="X454" s="572"/>
      <c r="Y454" s="572"/>
      <c r="Z454" s="572"/>
      <c r="AB454" s="573"/>
    </row>
    <row r="455" spans="1:28" s="575" customFormat="1" ht="46.5">
      <c r="A455" s="616"/>
      <c r="B455" s="576" t="s">
        <v>785</v>
      </c>
      <c r="C455" s="591"/>
      <c r="D455" s="617"/>
      <c r="E455" s="618">
        <v>6</v>
      </c>
      <c r="F455" s="619"/>
      <c r="G455" s="620">
        <v>3</v>
      </c>
      <c r="H455" s="621">
        <f t="shared" si="15"/>
        <v>18</v>
      </c>
      <c r="I455" s="622"/>
      <c r="J455" s="623"/>
      <c r="K455" s="586">
        <f t="shared" si="14"/>
        <v>18</v>
      </c>
      <c r="L455" s="586"/>
      <c r="M455" s="571"/>
      <c r="N455" s="590" t="s">
        <v>611</v>
      </c>
      <c r="O455" s="590" t="s">
        <v>611</v>
      </c>
      <c r="P455" s="587" t="s">
        <v>611</v>
      </c>
      <c r="Q455" s="572"/>
      <c r="R455" s="573"/>
      <c r="S455" s="574"/>
      <c r="T455" s="574"/>
      <c r="U455" s="574"/>
      <c r="V455" s="574"/>
      <c r="W455" s="574"/>
      <c r="X455" s="572"/>
      <c r="Y455" s="572"/>
      <c r="Z455" s="572"/>
      <c r="AB455" s="573"/>
    </row>
    <row r="456" spans="1:28" s="575" customFormat="1" ht="46.5">
      <c r="A456" s="616"/>
      <c r="B456" s="576" t="s">
        <v>786</v>
      </c>
      <c r="C456" s="591"/>
      <c r="D456" s="617"/>
      <c r="E456" s="618">
        <v>4.8499999999999996</v>
      </c>
      <c r="F456" s="619"/>
      <c r="G456" s="620">
        <v>3</v>
      </c>
      <c r="H456" s="621">
        <f t="shared" si="15"/>
        <v>14.549999999999999</v>
      </c>
      <c r="I456" s="622"/>
      <c r="J456" s="623"/>
      <c r="K456" s="586">
        <f t="shared" si="14"/>
        <v>14.549999999999999</v>
      </c>
      <c r="L456" s="586"/>
      <c r="M456" s="571"/>
      <c r="N456" s="590" t="s">
        <v>611</v>
      </c>
      <c r="O456" s="590" t="s">
        <v>611</v>
      </c>
      <c r="P456" s="587" t="s">
        <v>611</v>
      </c>
      <c r="Q456" s="572"/>
      <c r="R456" s="573"/>
      <c r="S456" s="574"/>
      <c r="T456" s="574"/>
      <c r="U456" s="574"/>
      <c r="V456" s="574"/>
      <c r="W456" s="574"/>
      <c r="X456" s="572"/>
      <c r="Y456" s="572"/>
      <c r="Z456" s="572"/>
      <c r="AB456" s="573"/>
    </row>
    <row r="457" spans="1:28" s="575" customFormat="1" ht="46.5">
      <c r="A457" s="616"/>
      <c r="B457" s="576" t="s">
        <v>787</v>
      </c>
      <c r="C457" s="591"/>
      <c r="D457" s="617"/>
      <c r="E457" s="618">
        <v>5.7</v>
      </c>
      <c r="F457" s="619"/>
      <c r="G457" s="620">
        <v>3</v>
      </c>
      <c r="H457" s="621">
        <f t="shared" si="15"/>
        <v>17.100000000000001</v>
      </c>
      <c r="I457" s="622"/>
      <c r="J457" s="623"/>
      <c r="K457" s="586">
        <f t="shared" si="14"/>
        <v>17.100000000000001</v>
      </c>
      <c r="L457" s="586"/>
      <c r="M457" s="571"/>
      <c r="N457" s="590" t="s">
        <v>611</v>
      </c>
      <c r="O457" s="590" t="s">
        <v>611</v>
      </c>
      <c r="P457" s="587" t="s">
        <v>611</v>
      </c>
      <c r="Q457" s="572"/>
      <c r="R457" s="573"/>
      <c r="S457" s="574"/>
      <c r="T457" s="574"/>
      <c r="U457" s="574"/>
      <c r="V457" s="574"/>
      <c r="W457" s="574"/>
      <c r="X457" s="572"/>
      <c r="Y457" s="572"/>
      <c r="Z457" s="572"/>
      <c r="AB457" s="573"/>
    </row>
    <row r="458" spans="1:28" s="575" customFormat="1" ht="46.5">
      <c r="A458" s="616"/>
      <c r="B458" s="576" t="s">
        <v>788</v>
      </c>
      <c r="C458" s="591"/>
      <c r="D458" s="617"/>
      <c r="E458" s="618">
        <v>4.8499999999999996</v>
      </c>
      <c r="F458" s="619"/>
      <c r="G458" s="620">
        <v>3</v>
      </c>
      <c r="H458" s="621">
        <f t="shared" si="15"/>
        <v>14.549999999999999</v>
      </c>
      <c r="I458" s="622"/>
      <c r="J458" s="623"/>
      <c r="K458" s="586">
        <f t="shared" si="14"/>
        <v>14.549999999999999</v>
      </c>
      <c r="L458" s="586"/>
      <c r="M458" s="571"/>
      <c r="N458" s="590" t="s">
        <v>611</v>
      </c>
      <c r="O458" s="590" t="s">
        <v>611</v>
      </c>
      <c r="P458" s="587" t="s">
        <v>611</v>
      </c>
      <c r="Q458" s="572"/>
      <c r="R458" s="573"/>
      <c r="S458" s="574"/>
      <c r="T458" s="574"/>
      <c r="U458" s="574"/>
      <c r="V458" s="574"/>
      <c r="W458" s="574"/>
      <c r="X458" s="572"/>
      <c r="Y458" s="572"/>
      <c r="Z458" s="572"/>
      <c r="AB458" s="573"/>
    </row>
    <row r="459" spans="1:28" s="575" customFormat="1">
      <c r="A459" s="616"/>
      <c r="B459" s="576" t="s">
        <v>789</v>
      </c>
      <c r="C459" s="591"/>
      <c r="D459" s="617"/>
      <c r="E459" s="618">
        <v>6</v>
      </c>
      <c r="F459" s="619"/>
      <c r="G459" s="620">
        <v>3</v>
      </c>
      <c r="H459" s="621">
        <f t="shared" si="15"/>
        <v>18</v>
      </c>
      <c r="I459" s="622"/>
      <c r="J459" s="623"/>
      <c r="K459" s="586">
        <f t="shared" si="14"/>
        <v>18</v>
      </c>
      <c r="L459" s="586"/>
      <c r="M459" s="571"/>
      <c r="N459" s="590" t="s">
        <v>611</v>
      </c>
      <c r="O459" s="590" t="s">
        <v>611</v>
      </c>
      <c r="P459" s="587" t="s">
        <v>611</v>
      </c>
      <c r="Q459" s="572"/>
      <c r="R459" s="573"/>
      <c r="S459" s="574"/>
      <c r="T459" s="574"/>
      <c r="U459" s="574"/>
      <c r="V459" s="574"/>
      <c r="W459" s="574"/>
      <c r="X459" s="572"/>
      <c r="Y459" s="572"/>
      <c r="Z459" s="572"/>
      <c r="AB459" s="573"/>
    </row>
    <row r="460" spans="1:28" s="575" customFormat="1">
      <c r="A460" s="616"/>
      <c r="B460" s="576" t="s">
        <v>790</v>
      </c>
      <c r="C460" s="591"/>
      <c r="D460" s="617"/>
      <c r="E460" s="618">
        <v>6</v>
      </c>
      <c r="F460" s="619"/>
      <c r="G460" s="620">
        <v>3</v>
      </c>
      <c r="H460" s="621">
        <f t="shared" si="15"/>
        <v>18</v>
      </c>
      <c r="I460" s="622"/>
      <c r="J460" s="623"/>
      <c r="K460" s="586">
        <f t="shared" si="14"/>
        <v>18</v>
      </c>
      <c r="L460" s="586"/>
      <c r="M460" s="571"/>
      <c r="N460" s="590" t="s">
        <v>611</v>
      </c>
      <c r="O460" s="590" t="s">
        <v>611</v>
      </c>
      <c r="P460" s="587" t="s">
        <v>611</v>
      </c>
      <c r="Q460" s="572"/>
      <c r="R460" s="573"/>
      <c r="S460" s="574"/>
      <c r="T460" s="574"/>
      <c r="U460" s="574"/>
      <c r="V460" s="574"/>
      <c r="W460" s="574"/>
      <c r="X460" s="572"/>
      <c r="Y460" s="572"/>
      <c r="Z460" s="572"/>
      <c r="AB460" s="573"/>
    </row>
    <row r="461" spans="1:28" s="575" customFormat="1">
      <c r="A461" s="616"/>
      <c r="B461" s="576" t="s">
        <v>791</v>
      </c>
      <c r="C461" s="591"/>
      <c r="D461" s="617"/>
      <c r="E461" s="618">
        <v>6</v>
      </c>
      <c r="F461" s="619"/>
      <c r="G461" s="620">
        <v>3</v>
      </c>
      <c r="H461" s="621">
        <f t="shared" si="15"/>
        <v>18</v>
      </c>
      <c r="I461" s="622"/>
      <c r="J461" s="623"/>
      <c r="K461" s="586">
        <f t="shared" si="14"/>
        <v>18</v>
      </c>
      <c r="L461" s="586"/>
      <c r="M461" s="571"/>
      <c r="N461" s="590" t="s">
        <v>611</v>
      </c>
      <c r="O461" s="590" t="s">
        <v>611</v>
      </c>
      <c r="P461" s="587" t="s">
        <v>611</v>
      </c>
      <c r="Q461" s="572"/>
      <c r="R461" s="573"/>
      <c r="S461" s="574"/>
      <c r="T461" s="574"/>
      <c r="U461" s="574"/>
      <c r="V461" s="574"/>
      <c r="W461" s="574"/>
      <c r="X461" s="572"/>
      <c r="Y461" s="572"/>
      <c r="Z461" s="572"/>
      <c r="AB461" s="573"/>
    </row>
    <row r="462" spans="1:28" s="575" customFormat="1" ht="46.5">
      <c r="A462" s="616"/>
      <c r="B462" s="576" t="s">
        <v>792</v>
      </c>
      <c r="C462" s="591"/>
      <c r="D462" s="617"/>
      <c r="E462" s="618">
        <v>5.8</v>
      </c>
      <c r="F462" s="619"/>
      <c r="G462" s="620">
        <v>3</v>
      </c>
      <c r="H462" s="621">
        <f t="shared" si="15"/>
        <v>17.399999999999999</v>
      </c>
      <c r="I462" s="622"/>
      <c r="J462" s="623"/>
      <c r="K462" s="586">
        <f t="shared" si="14"/>
        <v>17.399999999999999</v>
      </c>
      <c r="L462" s="586"/>
      <c r="M462" s="571"/>
      <c r="N462" s="590" t="s">
        <v>611</v>
      </c>
      <c r="O462" s="590" t="s">
        <v>611</v>
      </c>
      <c r="P462" s="587" t="s">
        <v>611</v>
      </c>
      <c r="Q462" s="572"/>
      <c r="R462" s="573"/>
      <c r="S462" s="574"/>
      <c r="T462" s="574"/>
      <c r="U462" s="574"/>
      <c r="V462" s="574"/>
      <c r="W462" s="574"/>
      <c r="X462" s="572"/>
      <c r="Y462" s="572"/>
      <c r="Z462" s="572"/>
      <c r="AB462" s="573"/>
    </row>
    <row r="463" spans="1:28" s="575" customFormat="1">
      <c r="A463" s="616"/>
      <c r="B463" s="576" t="s">
        <v>793</v>
      </c>
      <c r="C463" s="591"/>
      <c r="D463" s="617"/>
      <c r="E463" s="618">
        <v>1.8</v>
      </c>
      <c r="F463" s="619"/>
      <c r="G463" s="620">
        <v>3</v>
      </c>
      <c r="H463" s="621">
        <f t="shared" si="15"/>
        <v>5.4</v>
      </c>
      <c r="I463" s="622"/>
      <c r="J463" s="623"/>
      <c r="K463" s="586">
        <f t="shared" si="14"/>
        <v>5.4</v>
      </c>
      <c r="L463" s="586"/>
      <c r="M463" s="571"/>
      <c r="N463" s="590" t="s">
        <v>611</v>
      </c>
      <c r="O463" s="590" t="s">
        <v>611</v>
      </c>
      <c r="P463" s="587" t="s">
        <v>611</v>
      </c>
      <c r="Q463" s="572"/>
      <c r="R463" s="573"/>
      <c r="S463" s="574"/>
      <c r="T463" s="574"/>
      <c r="U463" s="574"/>
      <c r="V463" s="574"/>
      <c r="W463" s="574"/>
      <c r="X463" s="572"/>
      <c r="Y463" s="572"/>
      <c r="Z463" s="572"/>
      <c r="AB463" s="573"/>
    </row>
    <row r="464" spans="1:28" s="575" customFormat="1" ht="46.5">
      <c r="A464" s="616"/>
      <c r="B464" s="576" t="s">
        <v>794</v>
      </c>
      <c r="C464" s="591"/>
      <c r="D464" s="617"/>
      <c r="E464" s="618">
        <v>2.85</v>
      </c>
      <c r="F464" s="619"/>
      <c r="G464" s="620">
        <v>3</v>
      </c>
      <c r="H464" s="621">
        <f t="shared" si="15"/>
        <v>8.5500000000000007</v>
      </c>
      <c r="I464" s="622"/>
      <c r="J464" s="623"/>
      <c r="K464" s="586">
        <f t="shared" si="14"/>
        <v>8.5500000000000007</v>
      </c>
      <c r="L464" s="586"/>
      <c r="M464" s="571"/>
      <c r="N464" s="590" t="s">
        <v>611</v>
      </c>
      <c r="O464" s="590" t="s">
        <v>611</v>
      </c>
      <c r="P464" s="587" t="s">
        <v>611</v>
      </c>
      <c r="Q464" s="572"/>
      <c r="R464" s="573"/>
      <c r="S464" s="574"/>
      <c r="T464" s="574"/>
      <c r="U464" s="574"/>
      <c r="V464" s="574"/>
      <c r="W464" s="574"/>
      <c r="X464" s="572"/>
      <c r="Y464" s="572"/>
      <c r="Z464" s="572"/>
      <c r="AB464" s="573"/>
    </row>
    <row r="465" spans="1:28" s="575" customFormat="1" ht="46.5">
      <c r="A465" s="616"/>
      <c r="B465" s="576" t="s">
        <v>795</v>
      </c>
      <c r="C465" s="591"/>
      <c r="D465" s="617"/>
      <c r="E465" s="618">
        <v>4.9000000000000004</v>
      </c>
      <c r="F465" s="619"/>
      <c r="G465" s="620">
        <v>3</v>
      </c>
      <c r="H465" s="621">
        <f t="shared" si="15"/>
        <v>14.700000000000001</v>
      </c>
      <c r="I465" s="622"/>
      <c r="J465" s="623"/>
      <c r="K465" s="586">
        <f t="shared" si="14"/>
        <v>14.700000000000001</v>
      </c>
      <c r="L465" s="586"/>
      <c r="M465" s="571"/>
      <c r="N465" s="590" t="s">
        <v>611</v>
      </c>
      <c r="O465" s="590" t="s">
        <v>611</v>
      </c>
      <c r="P465" s="587" t="s">
        <v>611</v>
      </c>
      <c r="Q465" s="572"/>
      <c r="R465" s="573"/>
      <c r="S465" s="574"/>
      <c r="T465" s="574"/>
      <c r="U465" s="574"/>
      <c r="V465" s="574"/>
      <c r="W465" s="574"/>
      <c r="X465" s="572"/>
      <c r="Y465" s="572"/>
      <c r="Z465" s="572"/>
      <c r="AB465" s="573"/>
    </row>
    <row r="466" spans="1:28" s="575" customFormat="1" ht="46.5">
      <c r="A466" s="616"/>
      <c r="B466" s="576" t="s">
        <v>796</v>
      </c>
      <c r="C466" s="591"/>
      <c r="D466" s="617"/>
      <c r="E466" s="618">
        <v>5.8</v>
      </c>
      <c r="F466" s="619"/>
      <c r="G466" s="620">
        <v>3</v>
      </c>
      <c r="H466" s="621">
        <f t="shared" si="15"/>
        <v>17.399999999999999</v>
      </c>
      <c r="I466" s="622"/>
      <c r="J466" s="623"/>
      <c r="K466" s="586">
        <f t="shared" si="14"/>
        <v>17.399999999999999</v>
      </c>
      <c r="L466" s="586"/>
      <c r="M466" s="571"/>
      <c r="N466" s="590" t="s">
        <v>611</v>
      </c>
      <c r="O466" s="590" t="s">
        <v>611</v>
      </c>
      <c r="P466" s="587" t="s">
        <v>611</v>
      </c>
      <c r="Q466" s="572"/>
      <c r="R466" s="573"/>
      <c r="S466" s="574"/>
      <c r="T466" s="574"/>
      <c r="U466" s="574"/>
      <c r="V466" s="574"/>
      <c r="W466" s="574"/>
      <c r="X466" s="572"/>
      <c r="Y466" s="572"/>
      <c r="Z466" s="572"/>
      <c r="AB466" s="573"/>
    </row>
    <row r="467" spans="1:28" s="575" customFormat="1">
      <c r="A467" s="616"/>
      <c r="B467" s="576" t="s">
        <v>797</v>
      </c>
      <c r="C467" s="591"/>
      <c r="D467" s="617"/>
      <c r="E467" s="618">
        <v>1.8</v>
      </c>
      <c r="F467" s="619"/>
      <c r="G467" s="620">
        <v>3</v>
      </c>
      <c r="H467" s="621">
        <f t="shared" si="15"/>
        <v>5.4</v>
      </c>
      <c r="I467" s="622"/>
      <c r="J467" s="623"/>
      <c r="K467" s="586">
        <f t="shared" si="14"/>
        <v>5.4</v>
      </c>
      <c r="L467" s="586"/>
      <c r="M467" s="571"/>
      <c r="N467" s="590" t="s">
        <v>611</v>
      </c>
      <c r="O467" s="590" t="s">
        <v>611</v>
      </c>
      <c r="P467" s="587" t="s">
        <v>611</v>
      </c>
      <c r="Q467" s="572"/>
      <c r="R467" s="573"/>
      <c r="S467" s="574"/>
      <c r="T467" s="574"/>
      <c r="U467" s="574"/>
      <c r="V467" s="574"/>
      <c r="W467" s="574"/>
      <c r="X467" s="572"/>
      <c r="Y467" s="572"/>
      <c r="Z467" s="572"/>
      <c r="AB467" s="573"/>
    </row>
    <row r="468" spans="1:28" s="575" customFormat="1">
      <c r="A468" s="616"/>
      <c r="B468" s="576" t="s">
        <v>798</v>
      </c>
      <c r="C468" s="591"/>
      <c r="D468" s="617"/>
      <c r="E468" s="618">
        <v>2.85</v>
      </c>
      <c r="F468" s="619"/>
      <c r="G468" s="620">
        <v>3</v>
      </c>
      <c r="H468" s="621">
        <f t="shared" si="15"/>
        <v>8.5500000000000007</v>
      </c>
      <c r="I468" s="622"/>
      <c r="J468" s="623"/>
      <c r="K468" s="586">
        <f t="shared" si="14"/>
        <v>8.5500000000000007</v>
      </c>
      <c r="L468" s="586"/>
      <c r="M468" s="571"/>
      <c r="N468" s="590" t="s">
        <v>611</v>
      </c>
      <c r="O468" s="590" t="s">
        <v>611</v>
      </c>
      <c r="P468" s="587" t="s">
        <v>611</v>
      </c>
      <c r="Q468" s="572"/>
      <c r="R468" s="573"/>
      <c r="S468" s="574"/>
      <c r="T468" s="574"/>
      <c r="U468" s="574"/>
      <c r="V468" s="574"/>
      <c r="W468" s="574"/>
      <c r="X468" s="572"/>
      <c r="Y468" s="572"/>
      <c r="Z468" s="572"/>
      <c r="AB468" s="573"/>
    </row>
    <row r="469" spans="1:28" s="575" customFormat="1">
      <c r="A469" s="616"/>
      <c r="B469" s="576" t="s">
        <v>799</v>
      </c>
      <c r="C469" s="591"/>
      <c r="D469" s="617"/>
      <c r="E469" s="618">
        <v>6</v>
      </c>
      <c r="F469" s="619"/>
      <c r="G469" s="620">
        <v>3</v>
      </c>
      <c r="H469" s="621">
        <f t="shared" si="15"/>
        <v>18</v>
      </c>
      <c r="I469" s="622"/>
      <c r="J469" s="623"/>
      <c r="K469" s="586">
        <f t="shared" si="14"/>
        <v>18</v>
      </c>
      <c r="L469" s="586"/>
      <c r="M469" s="571"/>
      <c r="N469" s="590" t="s">
        <v>611</v>
      </c>
      <c r="O469" s="590" t="s">
        <v>611</v>
      </c>
      <c r="P469" s="587" t="s">
        <v>611</v>
      </c>
      <c r="Q469" s="572"/>
      <c r="R469" s="573"/>
      <c r="S469" s="574"/>
      <c r="T469" s="574"/>
      <c r="U469" s="574"/>
      <c r="V469" s="574"/>
      <c r="W469" s="574"/>
      <c r="X469" s="572"/>
      <c r="Y469" s="572"/>
      <c r="Z469" s="572"/>
      <c r="AB469" s="573"/>
    </row>
    <row r="470" spans="1:28" s="575" customFormat="1">
      <c r="A470" s="616"/>
      <c r="B470" s="576" t="s">
        <v>800</v>
      </c>
      <c r="C470" s="591"/>
      <c r="D470" s="617"/>
      <c r="E470" s="618">
        <v>1.35</v>
      </c>
      <c r="F470" s="619"/>
      <c r="G470" s="620">
        <v>3</v>
      </c>
      <c r="H470" s="621">
        <f t="shared" si="15"/>
        <v>4.0500000000000007</v>
      </c>
      <c r="I470" s="622"/>
      <c r="J470" s="623"/>
      <c r="K470" s="586">
        <f t="shared" si="14"/>
        <v>4.0500000000000007</v>
      </c>
      <c r="L470" s="586"/>
      <c r="M470" s="571"/>
      <c r="N470" s="590" t="s">
        <v>611</v>
      </c>
      <c r="O470" s="590" t="s">
        <v>611</v>
      </c>
      <c r="P470" s="587" t="s">
        <v>611</v>
      </c>
      <c r="Q470" s="572"/>
      <c r="R470" s="573"/>
      <c r="S470" s="574"/>
      <c r="T470" s="574"/>
      <c r="U470" s="574"/>
      <c r="V470" s="574"/>
      <c r="W470" s="574"/>
      <c r="X470" s="572"/>
      <c r="Y470" s="572"/>
      <c r="Z470" s="572"/>
      <c r="AB470" s="573"/>
    </row>
    <row r="471" spans="1:28" s="575" customFormat="1" ht="46.5">
      <c r="A471" s="616"/>
      <c r="B471" s="576" t="s">
        <v>801</v>
      </c>
      <c r="C471" s="591"/>
      <c r="D471" s="617"/>
      <c r="E471" s="618">
        <v>4.6500000000000004</v>
      </c>
      <c r="F471" s="619"/>
      <c r="G471" s="620">
        <v>3</v>
      </c>
      <c r="H471" s="621">
        <f t="shared" si="15"/>
        <v>13.950000000000001</v>
      </c>
      <c r="I471" s="622"/>
      <c r="J471" s="623"/>
      <c r="K471" s="586">
        <f t="shared" si="14"/>
        <v>13.950000000000001</v>
      </c>
      <c r="L471" s="586"/>
      <c r="M471" s="571"/>
      <c r="N471" s="590" t="s">
        <v>611</v>
      </c>
      <c r="O471" s="590" t="s">
        <v>611</v>
      </c>
      <c r="P471" s="587" t="s">
        <v>611</v>
      </c>
      <c r="Q471" s="572"/>
      <c r="R471" s="573"/>
      <c r="S471" s="574"/>
      <c r="T471" s="574"/>
      <c r="U471" s="574"/>
      <c r="V471" s="574"/>
      <c r="W471" s="574"/>
      <c r="X471" s="572"/>
      <c r="Y471" s="572"/>
      <c r="Z471" s="572"/>
      <c r="AB471" s="573"/>
    </row>
    <row r="472" spans="1:28" s="575" customFormat="1">
      <c r="A472" s="616"/>
      <c r="B472" s="576" t="s">
        <v>802</v>
      </c>
      <c r="C472" s="591"/>
      <c r="D472" s="617"/>
      <c r="E472" s="618">
        <v>3.55</v>
      </c>
      <c r="F472" s="619"/>
      <c r="G472" s="620">
        <v>3</v>
      </c>
      <c r="H472" s="621">
        <f t="shared" si="15"/>
        <v>10.649999999999999</v>
      </c>
      <c r="I472" s="622"/>
      <c r="J472" s="623"/>
      <c r="K472" s="586">
        <f t="shared" si="14"/>
        <v>10.649999999999999</v>
      </c>
      <c r="L472" s="586"/>
      <c r="M472" s="571"/>
      <c r="N472" s="590" t="s">
        <v>611</v>
      </c>
      <c r="O472" s="590" t="s">
        <v>611</v>
      </c>
      <c r="P472" s="587" t="s">
        <v>611</v>
      </c>
      <c r="Q472" s="572"/>
      <c r="R472" s="573"/>
      <c r="S472" s="574"/>
      <c r="T472" s="574"/>
      <c r="U472" s="574"/>
      <c r="V472" s="574"/>
      <c r="W472" s="574"/>
      <c r="X472" s="572"/>
      <c r="Y472" s="572"/>
      <c r="Z472" s="572"/>
      <c r="AB472" s="573"/>
    </row>
    <row r="473" spans="1:28" s="575" customFormat="1">
      <c r="A473" s="616"/>
      <c r="B473" s="576" t="s">
        <v>836</v>
      </c>
      <c r="C473" s="591"/>
      <c r="D473" s="617"/>
      <c r="E473" s="618">
        <v>3.5</v>
      </c>
      <c r="F473" s="619"/>
      <c r="G473" s="620">
        <v>3</v>
      </c>
      <c r="H473" s="621">
        <f t="shared" si="15"/>
        <v>10.5</v>
      </c>
      <c r="I473" s="622"/>
      <c r="J473" s="623"/>
      <c r="K473" s="586">
        <f t="shared" si="14"/>
        <v>10.5</v>
      </c>
      <c r="L473" s="586"/>
      <c r="M473" s="571"/>
      <c r="N473" s="590" t="s">
        <v>611</v>
      </c>
      <c r="O473" s="590" t="s">
        <v>611</v>
      </c>
      <c r="P473" s="587" t="s">
        <v>611</v>
      </c>
      <c r="Q473" s="572"/>
      <c r="R473" s="573"/>
      <c r="S473" s="574"/>
      <c r="T473" s="574"/>
      <c r="U473" s="574"/>
      <c r="V473" s="574"/>
      <c r="W473" s="574"/>
      <c r="X473" s="572"/>
      <c r="Y473" s="572"/>
      <c r="Z473" s="572"/>
      <c r="AB473" s="573"/>
    </row>
    <row r="474" spans="1:28" s="575" customFormat="1" ht="46.5">
      <c r="A474" s="616"/>
      <c r="B474" s="576" t="s">
        <v>837</v>
      </c>
      <c r="C474" s="591"/>
      <c r="D474" s="617"/>
      <c r="E474" s="618">
        <v>6</v>
      </c>
      <c r="F474" s="619"/>
      <c r="G474" s="620">
        <v>3</v>
      </c>
      <c r="H474" s="621">
        <f t="shared" si="15"/>
        <v>18</v>
      </c>
      <c r="I474" s="622"/>
      <c r="J474" s="623"/>
      <c r="K474" s="586">
        <f t="shared" si="14"/>
        <v>18</v>
      </c>
      <c r="L474" s="586"/>
      <c r="M474" s="571"/>
      <c r="N474" s="590" t="s">
        <v>611</v>
      </c>
      <c r="O474" s="590" t="s">
        <v>611</v>
      </c>
      <c r="P474" s="587" t="s">
        <v>611</v>
      </c>
      <c r="Q474" s="572"/>
      <c r="R474" s="573"/>
      <c r="S474" s="574"/>
      <c r="T474" s="574"/>
      <c r="U474" s="574"/>
      <c r="V474" s="574"/>
      <c r="W474" s="574"/>
      <c r="X474" s="572"/>
      <c r="Y474" s="572"/>
      <c r="Z474" s="572"/>
      <c r="AB474" s="573"/>
    </row>
    <row r="475" spans="1:28" s="575" customFormat="1">
      <c r="A475" s="616"/>
      <c r="B475" s="576" t="s">
        <v>805</v>
      </c>
      <c r="C475" s="591"/>
      <c r="D475" s="617"/>
      <c r="E475" s="618">
        <v>3.5</v>
      </c>
      <c r="F475" s="619"/>
      <c r="G475" s="620">
        <v>3</v>
      </c>
      <c r="H475" s="621">
        <f t="shared" si="15"/>
        <v>10.5</v>
      </c>
      <c r="I475" s="622"/>
      <c r="J475" s="623"/>
      <c r="K475" s="586">
        <f t="shared" si="14"/>
        <v>10.5</v>
      </c>
      <c r="L475" s="586"/>
      <c r="M475" s="571"/>
      <c r="N475" s="590" t="s">
        <v>611</v>
      </c>
      <c r="O475" s="590" t="s">
        <v>611</v>
      </c>
      <c r="P475" s="587" t="s">
        <v>611</v>
      </c>
      <c r="Q475" s="572"/>
      <c r="R475" s="573"/>
      <c r="S475" s="574"/>
      <c r="T475" s="574"/>
      <c r="U475" s="574"/>
      <c r="V475" s="574"/>
      <c r="W475" s="574"/>
      <c r="X475" s="572"/>
      <c r="Y475" s="572"/>
      <c r="Z475" s="572"/>
      <c r="AB475" s="573"/>
    </row>
    <row r="476" spans="1:28" s="575" customFormat="1">
      <c r="A476" s="616"/>
      <c r="B476" s="576" t="s">
        <v>806</v>
      </c>
      <c r="C476" s="591"/>
      <c r="D476" s="617"/>
      <c r="E476" s="618">
        <v>1.35</v>
      </c>
      <c r="F476" s="619"/>
      <c r="G476" s="620">
        <v>3</v>
      </c>
      <c r="H476" s="621">
        <f t="shared" si="15"/>
        <v>4.0500000000000007</v>
      </c>
      <c r="I476" s="622"/>
      <c r="J476" s="623"/>
      <c r="K476" s="586">
        <f t="shared" si="14"/>
        <v>4.0500000000000007</v>
      </c>
      <c r="L476" s="586"/>
      <c r="M476" s="571"/>
      <c r="N476" s="590" t="s">
        <v>611</v>
      </c>
      <c r="O476" s="590" t="s">
        <v>611</v>
      </c>
      <c r="P476" s="587" t="s">
        <v>611</v>
      </c>
      <c r="Q476" s="572"/>
      <c r="R476" s="573"/>
      <c r="S476" s="574"/>
      <c r="T476" s="574"/>
      <c r="U476" s="574"/>
      <c r="V476" s="574"/>
      <c r="W476" s="574"/>
      <c r="X476" s="572"/>
      <c r="Y476" s="572"/>
      <c r="Z476" s="572"/>
      <c r="AB476" s="573"/>
    </row>
    <row r="477" spans="1:28" s="575" customFormat="1">
      <c r="A477" s="616"/>
      <c r="B477" s="576" t="s">
        <v>807</v>
      </c>
      <c r="C477" s="591"/>
      <c r="D477" s="617"/>
      <c r="E477" s="618">
        <v>1.35</v>
      </c>
      <c r="F477" s="619"/>
      <c r="G477" s="620">
        <v>3</v>
      </c>
      <c r="H477" s="621">
        <f t="shared" si="15"/>
        <v>4.0500000000000007</v>
      </c>
      <c r="I477" s="622"/>
      <c r="J477" s="623"/>
      <c r="K477" s="586">
        <f t="shared" si="14"/>
        <v>4.0500000000000007</v>
      </c>
      <c r="L477" s="586"/>
      <c r="M477" s="571"/>
      <c r="N477" s="590" t="s">
        <v>611</v>
      </c>
      <c r="O477" s="590" t="s">
        <v>611</v>
      </c>
      <c r="P477" s="587" t="s">
        <v>611</v>
      </c>
      <c r="Q477" s="572"/>
      <c r="R477" s="573"/>
      <c r="S477" s="574"/>
      <c r="T477" s="574"/>
      <c r="U477" s="574"/>
      <c r="V477" s="574"/>
      <c r="W477" s="574"/>
      <c r="X477" s="572"/>
      <c r="Y477" s="572"/>
      <c r="Z477" s="572"/>
      <c r="AB477" s="573"/>
    </row>
    <row r="478" spans="1:28" s="575" customFormat="1">
      <c r="A478" s="616"/>
      <c r="B478" s="576" t="s">
        <v>808</v>
      </c>
      <c r="C478" s="591"/>
      <c r="D478" s="617"/>
      <c r="E478" s="618">
        <v>1.9</v>
      </c>
      <c r="F478" s="619"/>
      <c r="G478" s="620">
        <v>3</v>
      </c>
      <c r="H478" s="621">
        <f t="shared" si="15"/>
        <v>5.6999999999999993</v>
      </c>
      <c r="I478" s="622"/>
      <c r="J478" s="623"/>
      <c r="K478" s="586">
        <f t="shared" si="14"/>
        <v>5.6999999999999993</v>
      </c>
      <c r="L478" s="586"/>
      <c r="M478" s="571"/>
      <c r="N478" s="590" t="s">
        <v>611</v>
      </c>
      <c r="O478" s="590" t="s">
        <v>611</v>
      </c>
      <c r="P478" s="587" t="s">
        <v>611</v>
      </c>
      <c r="Q478" s="572"/>
      <c r="R478" s="573"/>
      <c r="S478" s="574"/>
      <c r="T478" s="574"/>
      <c r="U478" s="574"/>
      <c r="V478" s="574"/>
      <c r="W478" s="574"/>
      <c r="X478" s="572"/>
      <c r="Y478" s="572"/>
      <c r="Z478" s="572"/>
      <c r="AB478" s="573"/>
    </row>
    <row r="479" spans="1:28" s="575" customFormat="1">
      <c r="A479" s="616"/>
      <c r="B479" s="576" t="s">
        <v>809</v>
      </c>
      <c r="C479" s="591"/>
      <c r="D479" s="617"/>
      <c r="E479" s="618">
        <f>0.5+0.35</f>
        <v>0.85</v>
      </c>
      <c r="F479" s="619"/>
      <c r="G479" s="620">
        <v>3</v>
      </c>
      <c r="H479" s="621">
        <f t="shared" si="15"/>
        <v>2.5499999999999998</v>
      </c>
      <c r="I479" s="622"/>
      <c r="J479" s="623"/>
      <c r="K479" s="586">
        <f t="shared" si="14"/>
        <v>2.5499999999999998</v>
      </c>
      <c r="L479" s="586"/>
      <c r="M479" s="571"/>
      <c r="N479" s="590"/>
      <c r="O479" s="590"/>
      <c r="P479" s="587"/>
      <c r="Q479" s="572"/>
      <c r="R479" s="573"/>
      <c r="S479" s="574"/>
      <c r="T479" s="574"/>
      <c r="U479" s="574"/>
      <c r="V479" s="574"/>
      <c r="W479" s="574"/>
      <c r="X479" s="572"/>
      <c r="Y479" s="572"/>
      <c r="Z479" s="572"/>
      <c r="AB479" s="573"/>
    </row>
    <row r="480" spans="1:28" s="575" customFormat="1">
      <c r="A480" s="616"/>
      <c r="B480" s="576" t="s">
        <v>810</v>
      </c>
      <c r="C480" s="591"/>
      <c r="D480" s="617"/>
      <c r="E480" s="618">
        <v>6.45</v>
      </c>
      <c r="F480" s="619"/>
      <c r="G480" s="620">
        <v>3</v>
      </c>
      <c r="H480" s="621">
        <f t="shared" si="15"/>
        <v>19.350000000000001</v>
      </c>
      <c r="I480" s="622"/>
      <c r="J480" s="623"/>
      <c r="K480" s="586">
        <f t="shared" si="14"/>
        <v>19.350000000000001</v>
      </c>
      <c r="L480" s="586"/>
      <c r="M480" s="571"/>
      <c r="N480" s="590" t="s">
        <v>611</v>
      </c>
      <c r="O480" s="590" t="s">
        <v>611</v>
      </c>
      <c r="P480" s="587" t="s">
        <v>611</v>
      </c>
      <c r="Q480" s="572"/>
      <c r="R480" s="573"/>
      <c r="S480" s="574"/>
      <c r="T480" s="574"/>
      <c r="U480" s="574"/>
      <c r="V480" s="574"/>
      <c r="W480" s="574"/>
      <c r="X480" s="572"/>
      <c r="Y480" s="572"/>
      <c r="Z480" s="572"/>
      <c r="AB480" s="573"/>
    </row>
    <row r="481" spans="1:28" s="575" customFormat="1">
      <c r="A481" s="616"/>
      <c r="B481" s="576" t="s">
        <v>811</v>
      </c>
      <c r="C481" s="591"/>
      <c r="D481" s="617"/>
      <c r="E481" s="618">
        <v>2.58</v>
      </c>
      <c r="F481" s="619"/>
      <c r="G481" s="620">
        <v>3</v>
      </c>
      <c r="H481" s="621">
        <f t="shared" si="15"/>
        <v>7.74</v>
      </c>
      <c r="I481" s="622"/>
      <c r="J481" s="623"/>
      <c r="K481" s="586">
        <f t="shared" si="14"/>
        <v>7.74</v>
      </c>
      <c r="L481" s="586"/>
      <c r="M481" s="571"/>
      <c r="N481" s="577" t="s">
        <v>611</v>
      </c>
      <c r="O481" s="577">
        <v>5</v>
      </c>
      <c r="P481" s="577" t="s">
        <v>611</v>
      </c>
      <c r="Q481" s="572"/>
      <c r="R481" s="573"/>
      <c r="S481" s="574"/>
      <c r="T481" s="574"/>
      <c r="U481" s="574"/>
      <c r="V481" s="574"/>
      <c r="W481" s="574"/>
      <c r="X481" s="572"/>
      <c r="Y481" s="572"/>
      <c r="Z481" s="572"/>
      <c r="AB481" s="573" t="s">
        <v>668</v>
      </c>
    </row>
    <row r="482" spans="1:28" s="575" customFormat="1">
      <c r="A482" s="616"/>
      <c r="B482" s="576" t="s">
        <v>812</v>
      </c>
      <c r="C482" s="591"/>
      <c r="D482" s="617"/>
      <c r="E482" s="618">
        <v>6</v>
      </c>
      <c r="F482" s="619"/>
      <c r="G482" s="620">
        <v>3</v>
      </c>
      <c r="H482" s="621">
        <f t="shared" si="15"/>
        <v>18</v>
      </c>
      <c r="I482" s="622"/>
      <c r="J482" s="623"/>
      <c r="K482" s="586">
        <f t="shared" si="14"/>
        <v>18</v>
      </c>
      <c r="L482" s="586"/>
      <c r="M482" s="571"/>
      <c r="N482" s="590" t="s">
        <v>611</v>
      </c>
      <c r="O482" s="590" t="s">
        <v>611</v>
      </c>
      <c r="P482" s="587" t="s">
        <v>611</v>
      </c>
      <c r="Q482" s="572"/>
      <c r="R482" s="573"/>
      <c r="S482" s="574"/>
      <c r="T482" s="574"/>
      <c r="U482" s="574"/>
      <c r="V482" s="574"/>
      <c r="W482" s="574"/>
      <c r="X482" s="572"/>
      <c r="Y482" s="572"/>
      <c r="Z482" s="572"/>
      <c r="AB482" s="573"/>
    </row>
    <row r="483" spans="1:28" s="575" customFormat="1">
      <c r="A483" s="616"/>
      <c r="B483" s="576" t="s">
        <v>813</v>
      </c>
      <c r="C483" s="591"/>
      <c r="D483" s="617"/>
      <c r="E483" s="618">
        <v>6</v>
      </c>
      <c r="F483" s="619"/>
      <c r="G483" s="620">
        <v>3</v>
      </c>
      <c r="H483" s="621">
        <f t="shared" si="15"/>
        <v>18</v>
      </c>
      <c r="I483" s="622"/>
      <c r="J483" s="623"/>
      <c r="K483" s="586">
        <f t="shared" si="14"/>
        <v>18</v>
      </c>
      <c r="L483" s="586"/>
      <c r="M483" s="571"/>
      <c r="N483" s="590" t="s">
        <v>611</v>
      </c>
      <c r="O483" s="590" t="s">
        <v>611</v>
      </c>
      <c r="P483" s="587" t="s">
        <v>611</v>
      </c>
      <c r="Q483" s="572"/>
      <c r="R483" s="573"/>
      <c r="S483" s="574"/>
      <c r="T483" s="574"/>
      <c r="U483" s="574"/>
      <c r="V483" s="574"/>
      <c r="W483" s="574"/>
      <c r="X483" s="572"/>
      <c r="Y483" s="572"/>
      <c r="Z483" s="572"/>
      <c r="AB483" s="573"/>
    </row>
    <row r="484" spans="1:28" s="575" customFormat="1">
      <c r="A484" s="616"/>
      <c r="B484" s="576" t="s">
        <v>814</v>
      </c>
      <c r="C484" s="591"/>
      <c r="D484" s="617"/>
      <c r="E484" s="618">
        <v>1.9</v>
      </c>
      <c r="F484" s="619"/>
      <c r="G484" s="620">
        <v>3</v>
      </c>
      <c r="H484" s="621">
        <f t="shared" si="15"/>
        <v>5.6999999999999993</v>
      </c>
      <c r="I484" s="622"/>
      <c r="J484" s="623"/>
      <c r="K484" s="586">
        <f t="shared" si="14"/>
        <v>5.6999999999999993</v>
      </c>
      <c r="L484" s="586"/>
      <c r="M484" s="571"/>
      <c r="N484" s="590" t="s">
        <v>611</v>
      </c>
      <c r="O484" s="590" t="s">
        <v>611</v>
      </c>
      <c r="P484" s="587" t="s">
        <v>611</v>
      </c>
      <c r="Q484" s="572"/>
      <c r="R484" s="573"/>
      <c r="S484" s="574"/>
      <c r="T484" s="574"/>
      <c r="U484" s="574"/>
      <c r="V484" s="574"/>
      <c r="W484" s="574"/>
      <c r="X484" s="572"/>
      <c r="Y484" s="572"/>
      <c r="Z484" s="572"/>
      <c r="AB484" s="573"/>
    </row>
    <row r="485" spans="1:28" s="575" customFormat="1">
      <c r="A485" s="616"/>
      <c r="B485" s="576" t="s">
        <v>815</v>
      </c>
      <c r="C485" s="591"/>
      <c r="D485" s="617"/>
      <c r="E485" s="618">
        <v>1.75</v>
      </c>
      <c r="F485" s="619"/>
      <c r="G485" s="620">
        <v>1.7</v>
      </c>
      <c r="H485" s="621">
        <f t="shared" si="15"/>
        <v>2.9750000000000001</v>
      </c>
      <c r="I485" s="622"/>
      <c r="J485" s="623"/>
      <c r="K485" s="586">
        <f t="shared" si="14"/>
        <v>2.9750000000000001</v>
      </c>
      <c r="L485" s="586"/>
      <c r="M485" s="571"/>
      <c r="N485" s="577" t="s">
        <v>611</v>
      </c>
      <c r="O485" s="577">
        <v>3</v>
      </c>
      <c r="P485" s="577" t="s">
        <v>611</v>
      </c>
      <c r="Q485" s="572"/>
      <c r="R485" s="573"/>
      <c r="S485" s="574"/>
      <c r="T485" s="574"/>
      <c r="U485" s="574"/>
      <c r="V485" s="574"/>
      <c r="W485" s="574"/>
      <c r="X485" s="572"/>
      <c r="Y485" s="572"/>
      <c r="Z485" s="572"/>
      <c r="AB485" s="573" t="s">
        <v>668</v>
      </c>
    </row>
    <row r="486" spans="1:28" s="575" customFormat="1">
      <c r="A486" s="616"/>
      <c r="B486" s="591" t="s">
        <v>674</v>
      </c>
      <c r="C486" s="591"/>
      <c r="D486" s="617"/>
      <c r="E486" s="618"/>
      <c r="F486" s="619"/>
      <c r="G486" s="620"/>
      <c r="H486" s="622"/>
      <c r="I486" s="622"/>
      <c r="J486" s="623"/>
      <c r="K486" s="586"/>
      <c r="L486" s="586"/>
      <c r="M486" s="571"/>
      <c r="N486" s="577" t="s">
        <v>611</v>
      </c>
      <c r="O486" s="577" t="s">
        <v>611</v>
      </c>
      <c r="P486" s="577" t="s">
        <v>611</v>
      </c>
      <c r="Q486" s="572"/>
      <c r="R486" s="573"/>
      <c r="S486" s="574"/>
      <c r="T486" s="574"/>
      <c r="U486" s="574"/>
      <c r="V486" s="574"/>
      <c r="W486" s="574"/>
      <c r="X486" s="572"/>
      <c r="Y486" s="572"/>
      <c r="Z486" s="572"/>
      <c r="AB486" s="573" t="s">
        <v>668</v>
      </c>
    </row>
    <row r="487" spans="1:28" s="575" customFormat="1">
      <c r="A487" s="616"/>
      <c r="B487" s="591" t="s">
        <v>817</v>
      </c>
      <c r="C487" s="591"/>
      <c r="D487" s="617"/>
      <c r="E487" s="618"/>
      <c r="F487" s="619"/>
      <c r="G487" s="620"/>
      <c r="H487" s="622"/>
      <c r="I487" s="622"/>
      <c r="J487" s="623"/>
      <c r="K487" s="586"/>
      <c r="L487" s="586"/>
      <c r="M487" s="571"/>
      <c r="N487" s="577" t="s">
        <v>611</v>
      </c>
      <c r="O487" s="577" t="s">
        <v>611</v>
      </c>
      <c r="P487" s="577" t="s">
        <v>611</v>
      </c>
      <c r="Q487" s="572"/>
      <c r="R487" s="573"/>
      <c r="S487" s="574"/>
      <c r="T487" s="574"/>
      <c r="U487" s="574"/>
      <c r="V487" s="574"/>
      <c r="W487" s="574"/>
      <c r="X487" s="572"/>
      <c r="Y487" s="572"/>
      <c r="Z487" s="572"/>
      <c r="AB487" s="573" t="s">
        <v>668</v>
      </c>
    </row>
    <row r="488" spans="1:28" s="575" customFormat="1">
      <c r="A488" s="616"/>
      <c r="B488" s="576" t="s">
        <v>818</v>
      </c>
      <c r="C488" s="591"/>
      <c r="D488" s="617"/>
      <c r="E488" s="618">
        <f>9</f>
        <v>9</v>
      </c>
      <c r="F488" s="619"/>
      <c r="G488" s="620">
        <v>4.75</v>
      </c>
      <c r="H488" s="621">
        <f t="shared" ref="H488:H490" si="16">G488*E488</f>
        <v>42.75</v>
      </c>
      <c r="I488" s="622"/>
      <c r="J488" s="623"/>
      <c r="K488" s="586">
        <f t="shared" ref="K488:K490" si="17">H488</f>
        <v>42.75</v>
      </c>
      <c r="L488" s="586"/>
      <c r="M488" s="571"/>
      <c r="N488" s="577" t="s">
        <v>611</v>
      </c>
      <c r="O488" s="577">
        <v>3</v>
      </c>
      <c r="P488" s="577" t="s">
        <v>611</v>
      </c>
      <c r="Q488" s="572"/>
      <c r="R488" s="573"/>
      <c r="S488" s="574"/>
      <c r="T488" s="574"/>
      <c r="U488" s="574"/>
      <c r="V488" s="574"/>
      <c r="W488" s="574"/>
      <c r="X488" s="572"/>
      <c r="Y488" s="572"/>
      <c r="Z488" s="572"/>
      <c r="AB488" s="573" t="s">
        <v>668</v>
      </c>
    </row>
    <row r="489" spans="1:28" s="575" customFormat="1">
      <c r="A489" s="616"/>
      <c r="B489" s="576" t="s">
        <v>819</v>
      </c>
      <c r="C489" s="591"/>
      <c r="D489" s="617"/>
      <c r="E489" s="618">
        <v>4.25</v>
      </c>
      <c r="F489" s="619"/>
      <c r="G489" s="620">
        <v>4.75</v>
      </c>
      <c r="H489" s="621">
        <f t="shared" si="16"/>
        <v>20.1875</v>
      </c>
      <c r="I489" s="622"/>
      <c r="J489" s="623"/>
      <c r="K489" s="586">
        <f t="shared" si="17"/>
        <v>20.1875</v>
      </c>
      <c r="L489" s="586"/>
      <c r="M489" s="571"/>
      <c r="N489" s="577" t="s">
        <v>611</v>
      </c>
      <c r="O489" s="577">
        <v>3</v>
      </c>
      <c r="P489" s="577" t="s">
        <v>611</v>
      </c>
      <c r="Q489" s="572"/>
      <c r="R489" s="573"/>
      <c r="S489" s="574"/>
      <c r="T489" s="574"/>
      <c r="U489" s="574"/>
      <c r="V489" s="574"/>
      <c r="W489" s="574"/>
      <c r="X489" s="572"/>
      <c r="Y489" s="572"/>
      <c r="Z489" s="572"/>
      <c r="AB489" s="573" t="s">
        <v>668</v>
      </c>
    </row>
    <row r="490" spans="1:28" s="575" customFormat="1">
      <c r="A490" s="616"/>
      <c r="B490" s="576" t="s">
        <v>820</v>
      </c>
      <c r="C490" s="591"/>
      <c r="D490" s="617"/>
      <c r="E490" s="618">
        <f>6.3+0.05</f>
        <v>6.35</v>
      </c>
      <c r="F490" s="619"/>
      <c r="G490" s="620">
        <v>3.45</v>
      </c>
      <c r="H490" s="621">
        <f t="shared" si="16"/>
        <v>21.907499999999999</v>
      </c>
      <c r="I490" s="622"/>
      <c r="J490" s="623"/>
      <c r="K490" s="586">
        <f t="shared" si="17"/>
        <v>21.907499999999999</v>
      </c>
      <c r="L490" s="586"/>
      <c r="M490" s="571"/>
      <c r="N490" s="577" t="s">
        <v>611</v>
      </c>
      <c r="O490" s="577">
        <v>3</v>
      </c>
      <c r="P490" s="577" t="s">
        <v>611</v>
      </c>
      <c r="Q490" s="572"/>
      <c r="R490" s="573"/>
      <c r="S490" s="574"/>
      <c r="T490" s="574"/>
      <c r="U490" s="574"/>
      <c r="V490" s="574"/>
      <c r="W490" s="574"/>
      <c r="X490" s="572"/>
      <c r="Y490" s="572"/>
      <c r="Z490" s="572"/>
      <c r="AB490" s="573" t="s">
        <v>668</v>
      </c>
    </row>
    <row r="491" spans="1:28" s="575" customFormat="1">
      <c r="A491" s="616"/>
      <c r="B491" s="576" t="s">
        <v>838</v>
      </c>
      <c r="C491" s="591"/>
      <c r="D491" s="617"/>
      <c r="E491" s="618">
        <v>7.7</v>
      </c>
      <c r="F491" s="619"/>
      <c r="G491" s="620">
        <v>0.5</v>
      </c>
      <c r="H491" s="621">
        <f>G491*E491</f>
        <v>3.85</v>
      </c>
      <c r="I491" s="622"/>
      <c r="J491" s="623"/>
      <c r="K491" s="586">
        <f>H491</f>
        <v>3.85</v>
      </c>
      <c r="L491" s="586"/>
      <c r="M491" s="571"/>
      <c r="N491" s="577" t="s">
        <v>611</v>
      </c>
      <c r="O491" s="577">
        <v>3</v>
      </c>
      <c r="P491" s="577" t="s">
        <v>611</v>
      </c>
      <c r="Q491" s="572"/>
      <c r="R491" s="573"/>
      <c r="S491" s="574"/>
      <c r="T491" s="574"/>
      <c r="U491" s="574"/>
      <c r="V491" s="574"/>
      <c r="W491" s="574"/>
      <c r="X491" s="572"/>
      <c r="Y491" s="572"/>
      <c r="Z491" s="572"/>
      <c r="AB491" s="573" t="s">
        <v>668</v>
      </c>
    </row>
    <row r="492" spans="1:28" s="575" customFormat="1">
      <c r="A492" s="616"/>
      <c r="B492" s="576" t="s">
        <v>839</v>
      </c>
      <c r="C492" s="591"/>
      <c r="D492" s="617"/>
      <c r="E492" s="618">
        <v>6.55</v>
      </c>
      <c r="F492" s="619"/>
      <c r="G492" s="620">
        <v>1.3</v>
      </c>
      <c r="H492" s="621">
        <f>G492*E492</f>
        <v>8.5150000000000006</v>
      </c>
      <c r="I492" s="622"/>
      <c r="J492" s="623"/>
      <c r="K492" s="586">
        <f>H492</f>
        <v>8.5150000000000006</v>
      </c>
      <c r="L492" s="586"/>
      <c r="M492" s="571"/>
      <c r="N492" s="577" t="s">
        <v>611</v>
      </c>
      <c r="O492" s="577">
        <v>3</v>
      </c>
      <c r="P492" s="577" t="s">
        <v>611</v>
      </c>
      <c r="Q492" s="572"/>
      <c r="R492" s="573"/>
      <c r="S492" s="574"/>
      <c r="T492" s="574"/>
      <c r="U492" s="574"/>
      <c r="V492" s="574"/>
      <c r="W492" s="574"/>
      <c r="X492" s="572"/>
      <c r="Y492" s="572"/>
      <c r="Z492" s="572"/>
      <c r="AB492" s="573" t="s">
        <v>668</v>
      </c>
    </row>
    <row r="493" spans="1:28" s="575" customFormat="1">
      <c r="A493" s="616"/>
      <c r="B493" s="576" t="s">
        <v>821</v>
      </c>
      <c r="C493" s="591"/>
      <c r="D493" s="617"/>
      <c r="E493" s="618">
        <f>2.1-0.4</f>
        <v>1.7000000000000002</v>
      </c>
      <c r="F493" s="619"/>
      <c r="G493" s="620">
        <v>4.45</v>
      </c>
      <c r="H493" s="621">
        <f t="shared" ref="H493" si="18">G493*E493</f>
        <v>7.5650000000000013</v>
      </c>
      <c r="I493" s="622"/>
      <c r="J493" s="623"/>
      <c r="K493" s="586">
        <f t="shared" ref="K493" si="19">H493</f>
        <v>7.5650000000000013</v>
      </c>
      <c r="L493" s="586"/>
      <c r="M493" s="571"/>
      <c r="N493" s="577" t="s">
        <v>611</v>
      </c>
      <c r="O493" s="577">
        <v>3</v>
      </c>
      <c r="P493" s="577" t="s">
        <v>611</v>
      </c>
      <c r="Q493" s="572"/>
      <c r="R493" s="573"/>
      <c r="S493" s="574"/>
      <c r="T493" s="574"/>
      <c r="U493" s="574"/>
      <c r="V493" s="574"/>
      <c r="W493" s="574"/>
      <c r="X493" s="572"/>
      <c r="Y493" s="572"/>
      <c r="Z493" s="572"/>
      <c r="AB493" s="573" t="s">
        <v>668</v>
      </c>
    </row>
    <row r="494" spans="1:28" s="575" customFormat="1">
      <c r="A494" s="616"/>
      <c r="B494" s="576" t="s">
        <v>840</v>
      </c>
      <c r="C494" s="591"/>
      <c r="D494" s="617"/>
      <c r="E494" s="618">
        <v>5.5</v>
      </c>
      <c r="F494" s="619"/>
      <c r="G494" s="620">
        <f>1.6-0.4</f>
        <v>1.2000000000000002</v>
      </c>
      <c r="H494" s="621">
        <f>G494*E494</f>
        <v>6.6000000000000014</v>
      </c>
      <c r="I494" s="622"/>
      <c r="J494" s="623"/>
      <c r="K494" s="586">
        <f>H494</f>
        <v>6.6000000000000014</v>
      </c>
      <c r="L494" s="586"/>
      <c r="M494" s="571"/>
      <c r="N494" s="577" t="s">
        <v>611</v>
      </c>
      <c r="O494" s="577">
        <v>3</v>
      </c>
      <c r="P494" s="577" t="s">
        <v>611</v>
      </c>
      <c r="Q494" s="572"/>
      <c r="R494" s="573"/>
      <c r="S494" s="574"/>
      <c r="T494" s="574"/>
      <c r="U494" s="574"/>
      <c r="V494" s="574"/>
      <c r="W494" s="574"/>
      <c r="X494" s="572"/>
      <c r="Y494" s="572"/>
      <c r="Z494" s="572"/>
      <c r="AB494" s="573" t="s">
        <v>668</v>
      </c>
    </row>
    <row r="495" spans="1:28" s="575" customFormat="1" ht="29.25" customHeight="1">
      <c r="A495" s="616"/>
      <c r="B495" s="576" t="s">
        <v>841</v>
      </c>
      <c r="C495" s="591"/>
      <c r="D495" s="617"/>
      <c r="E495" s="618">
        <v>2.15</v>
      </c>
      <c r="F495" s="619"/>
      <c r="G495" s="620">
        <v>1.6</v>
      </c>
      <c r="H495" s="621">
        <f t="shared" ref="H495:H502" si="20">G495*E495</f>
        <v>3.44</v>
      </c>
      <c r="I495" s="622"/>
      <c r="J495" s="623"/>
      <c r="K495" s="586">
        <f t="shared" ref="K495:K503" si="21">H495</f>
        <v>3.44</v>
      </c>
      <c r="L495" s="586"/>
      <c r="M495" s="571"/>
      <c r="N495" s="577" t="s">
        <v>611</v>
      </c>
      <c r="O495" s="577">
        <v>3</v>
      </c>
      <c r="P495" s="577" t="s">
        <v>611</v>
      </c>
      <c r="Q495" s="572"/>
      <c r="R495" s="573"/>
      <c r="S495" s="574"/>
      <c r="T495" s="574"/>
      <c r="U495" s="574"/>
      <c r="V495" s="574"/>
      <c r="W495" s="574"/>
      <c r="X495" s="572"/>
      <c r="Y495" s="572"/>
      <c r="Z495" s="572"/>
      <c r="AB495" s="573" t="s">
        <v>668</v>
      </c>
    </row>
    <row r="496" spans="1:28" s="575" customFormat="1">
      <c r="A496" s="616"/>
      <c r="B496" s="576" t="s">
        <v>822</v>
      </c>
      <c r="C496" s="591"/>
      <c r="D496" s="617"/>
      <c r="E496" s="618">
        <v>52.7</v>
      </c>
      <c r="F496" s="619"/>
      <c r="G496" s="620">
        <v>4.75</v>
      </c>
      <c r="H496" s="621">
        <f t="shared" si="20"/>
        <v>250.32500000000002</v>
      </c>
      <c r="I496" s="622"/>
      <c r="J496" s="623"/>
      <c r="K496" s="586">
        <f t="shared" si="21"/>
        <v>250.32500000000002</v>
      </c>
      <c r="L496" s="586"/>
      <c r="M496" s="571"/>
      <c r="N496" s="577" t="s">
        <v>611</v>
      </c>
      <c r="O496" s="577">
        <v>3</v>
      </c>
      <c r="P496" s="577" t="s">
        <v>611</v>
      </c>
      <c r="Q496" s="572"/>
      <c r="R496" s="573"/>
      <c r="S496" s="574"/>
      <c r="T496" s="574"/>
      <c r="U496" s="574"/>
      <c r="V496" s="574"/>
      <c r="W496" s="574"/>
      <c r="X496" s="572"/>
      <c r="Y496" s="572"/>
      <c r="Z496" s="572"/>
      <c r="AB496" s="573" t="s">
        <v>668</v>
      </c>
    </row>
    <row r="497" spans="1:28" s="575" customFormat="1">
      <c r="A497" s="616"/>
      <c r="B497" s="576" t="s">
        <v>823</v>
      </c>
      <c r="C497" s="591"/>
      <c r="D497" s="617"/>
      <c r="E497" s="618">
        <v>1.4</v>
      </c>
      <c r="F497" s="619"/>
      <c r="G497" s="620">
        <v>1.95</v>
      </c>
      <c r="H497" s="621">
        <f t="shared" si="20"/>
        <v>2.73</v>
      </c>
      <c r="I497" s="622"/>
      <c r="J497" s="623"/>
      <c r="K497" s="586">
        <f t="shared" si="21"/>
        <v>2.73</v>
      </c>
      <c r="L497" s="586"/>
      <c r="M497" s="571"/>
      <c r="N497" s="577" t="s">
        <v>611</v>
      </c>
      <c r="O497" s="577">
        <v>3</v>
      </c>
      <c r="P497" s="577" t="s">
        <v>611</v>
      </c>
      <c r="Q497" s="572"/>
      <c r="R497" s="573"/>
      <c r="S497" s="574"/>
      <c r="T497" s="574"/>
      <c r="U497" s="574"/>
      <c r="V497" s="574"/>
      <c r="W497" s="574"/>
      <c r="X497" s="572"/>
      <c r="Y497" s="572"/>
      <c r="Z497" s="572"/>
      <c r="AB497" s="573" t="s">
        <v>668</v>
      </c>
    </row>
    <row r="498" spans="1:28" s="575" customFormat="1">
      <c r="A498" s="616"/>
      <c r="B498" s="576" t="s">
        <v>824</v>
      </c>
      <c r="C498" s="591"/>
      <c r="D498" s="617"/>
      <c r="E498" s="618">
        <v>54.69</v>
      </c>
      <c r="F498" s="619"/>
      <c r="G498" s="620">
        <v>0.5</v>
      </c>
      <c r="H498" s="621">
        <f t="shared" si="20"/>
        <v>27.344999999999999</v>
      </c>
      <c r="I498" s="622"/>
      <c r="J498" s="623"/>
      <c r="K498" s="586">
        <f t="shared" si="21"/>
        <v>27.344999999999999</v>
      </c>
      <c r="L498" s="586"/>
      <c r="M498" s="571"/>
      <c r="N498" s="577" t="s">
        <v>611</v>
      </c>
      <c r="O498" s="577">
        <v>3</v>
      </c>
      <c r="P498" s="577" t="s">
        <v>611</v>
      </c>
      <c r="Q498" s="572"/>
      <c r="R498" s="573"/>
      <c r="S498" s="574"/>
      <c r="T498" s="574"/>
      <c r="U498" s="574"/>
      <c r="V498" s="574"/>
      <c r="W498" s="574"/>
      <c r="X498" s="572"/>
      <c r="Y498" s="572"/>
      <c r="Z498" s="572"/>
      <c r="AB498" s="573" t="s">
        <v>668</v>
      </c>
    </row>
    <row r="499" spans="1:28" s="575" customFormat="1">
      <c r="A499" s="616"/>
      <c r="B499" s="576" t="s">
        <v>825</v>
      </c>
      <c r="C499" s="591"/>
      <c r="D499" s="617"/>
      <c r="E499" s="618">
        <v>14.1</v>
      </c>
      <c r="F499" s="619"/>
      <c r="G499" s="620">
        <v>4.75</v>
      </c>
      <c r="H499" s="621">
        <f t="shared" si="20"/>
        <v>66.974999999999994</v>
      </c>
      <c r="I499" s="622"/>
      <c r="J499" s="623"/>
      <c r="K499" s="586">
        <f t="shared" si="21"/>
        <v>66.974999999999994</v>
      </c>
      <c r="L499" s="586"/>
      <c r="M499" s="571"/>
      <c r="N499" s="577" t="s">
        <v>611</v>
      </c>
      <c r="O499" s="577">
        <v>3</v>
      </c>
      <c r="P499" s="577" t="s">
        <v>611</v>
      </c>
      <c r="Q499" s="572"/>
      <c r="R499" s="573"/>
      <c r="S499" s="574"/>
      <c r="T499" s="574"/>
      <c r="U499" s="574"/>
      <c r="V499" s="574"/>
      <c r="W499" s="574"/>
      <c r="X499" s="572"/>
      <c r="Y499" s="572"/>
      <c r="Z499" s="572"/>
      <c r="AB499" s="573" t="s">
        <v>668</v>
      </c>
    </row>
    <row r="500" spans="1:28" s="599" customFormat="1" ht="20.25">
      <c r="A500" s="624"/>
      <c r="B500" s="592" t="s">
        <v>835</v>
      </c>
      <c r="C500" s="625"/>
      <c r="D500" s="626">
        <v>-1</v>
      </c>
      <c r="E500" s="627">
        <f>VLOOKUP(B500,'[10]auxiliar memoria'!$B$155:$E$302,2,FALSE)</f>
        <v>1</v>
      </c>
      <c r="F500" s="628"/>
      <c r="G500" s="629">
        <f>VLOOKUP(B500,'[10]auxiliar memoria'!$B$155:$E$302,3,FALSE)</f>
        <v>2.1</v>
      </c>
      <c r="H500" s="629">
        <f>IF(D500=0,"",IF(AND(D500&lt;0,E500*G500&gt;2),(ABS((2-(G500*E500)))*D500),IF(D500&gt;0,D500*E500*G500,0)))</f>
        <v>-0.10000000000000009</v>
      </c>
      <c r="I500" s="630"/>
      <c r="J500" s="631"/>
      <c r="K500" s="593">
        <f t="shared" si="21"/>
        <v>-0.10000000000000009</v>
      </c>
      <c r="L500" s="593"/>
      <c r="M500" s="594"/>
      <c r="N500" s="595" t="s">
        <v>611</v>
      </c>
      <c r="O500" s="595">
        <v>5</v>
      </c>
      <c r="P500" s="595" t="s">
        <v>611</v>
      </c>
      <c r="Q500" s="596"/>
      <c r="R500" s="597"/>
      <c r="S500" s="598"/>
      <c r="T500" s="598"/>
      <c r="U500" s="598"/>
      <c r="V500" s="598"/>
      <c r="W500" s="598"/>
      <c r="X500" s="596"/>
      <c r="Y500" s="596"/>
      <c r="Z500" s="596"/>
      <c r="AB500" s="597" t="s">
        <v>668</v>
      </c>
    </row>
    <row r="501" spans="1:28" s="575" customFormat="1">
      <c r="A501" s="616"/>
      <c r="B501" s="576" t="s">
        <v>826</v>
      </c>
      <c r="C501" s="591"/>
      <c r="D501" s="617"/>
      <c r="E501" s="618">
        <v>25.4</v>
      </c>
      <c r="F501" s="619"/>
      <c r="G501" s="620">
        <v>4.75</v>
      </c>
      <c r="H501" s="621">
        <f t="shared" si="20"/>
        <v>120.64999999999999</v>
      </c>
      <c r="I501" s="622"/>
      <c r="J501" s="623"/>
      <c r="K501" s="586">
        <f t="shared" si="21"/>
        <v>120.64999999999999</v>
      </c>
      <c r="L501" s="586"/>
      <c r="M501" s="571"/>
      <c r="N501" s="577" t="s">
        <v>611</v>
      </c>
      <c r="O501" s="577">
        <v>3</v>
      </c>
      <c r="P501" s="577" t="s">
        <v>611</v>
      </c>
      <c r="Q501" s="572"/>
      <c r="R501" s="573"/>
      <c r="S501" s="574"/>
      <c r="T501" s="574"/>
      <c r="U501" s="574"/>
      <c r="V501" s="574"/>
      <c r="W501" s="574"/>
      <c r="X501" s="572"/>
      <c r="Y501" s="572"/>
      <c r="Z501" s="572"/>
      <c r="AB501" s="573" t="s">
        <v>668</v>
      </c>
    </row>
    <row r="502" spans="1:28" s="575" customFormat="1">
      <c r="A502" s="616"/>
      <c r="B502" s="576" t="s">
        <v>827</v>
      </c>
      <c r="C502" s="591"/>
      <c r="D502" s="617"/>
      <c r="E502" s="618">
        <v>27.7</v>
      </c>
      <c r="F502" s="619"/>
      <c r="G502" s="620">
        <v>4.45</v>
      </c>
      <c r="H502" s="621">
        <f t="shared" si="20"/>
        <v>123.265</v>
      </c>
      <c r="I502" s="622"/>
      <c r="J502" s="623"/>
      <c r="K502" s="586">
        <f t="shared" si="21"/>
        <v>123.265</v>
      </c>
      <c r="L502" s="586"/>
      <c r="M502" s="571"/>
      <c r="N502" s="577" t="s">
        <v>611</v>
      </c>
      <c r="O502" s="577">
        <v>3</v>
      </c>
      <c r="P502" s="577" t="s">
        <v>611</v>
      </c>
      <c r="Q502" s="572"/>
      <c r="R502" s="573"/>
      <c r="S502" s="574"/>
      <c r="T502" s="574"/>
      <c r="U502" s="574"/>
      <c r="V502" s="574"/>
      <c r="W502" s="574"/>
      <c r="X502" s="572"/>
      <c r="Y502" s="572"/>
      <c r="Z502" s="572"/>
      <c r="AB502" s="573" t="s">
        <v>668</v>
      </c>
    </row>
    <row r="503" spans="1:28" s="599" customFormat="1" ht="20.25">
      <c r="A503" s="624"/>
      <c r="B503" s="592" t="s">
        <v>835</v>
      </c>
      <c r="C503" s="625"/>
      <c r="D503" s="626">
        <v>-1</v>
      </c>
      <c r="E503" s="627">
        <f>VLOOKUP(B503,'[10]auxiliar memoria'!$B$155:$E$302,2,FALSE)</f>
        <v>1</v>
      </c>
      <c r="F503" s="628"/>
      <c r="G503" s="629">
        <f>VLOOKUP(B503,'[10]auxiliar memoria'!$B$155:$E$302,3,FALSE)</f>
        <v>2.1</v>
      </c>
      <c r="H503" s="629">
        <f>IF(D503=0,"",IF(AND(D503&lt;0,E503*G503&gt;2),(ABS((2-(G503*E503)))*D503),IF(D503&gt;0,D503*E503*G503,0)))</f>
        <v>-0.10000000000000009</v>
      </c>
      <c r="I503" s="630"/>
      <c r="J503" s="631"/>
      <c r="K503" s="593">
        <f t="shared" si="21"/>
        <v>-0.10000000000000009</v>
      </c>
      <c r="L503" s="593"/>
      <c r="M503" s="594"/>
      <c r="N503" s="595" t="s">
        <v>611</v>
      </c>
      <c r="O503" s="595">
        <v>5</v>
      </c>
      <c r="P503" s="595" t="s">
        <v>611</v>
      </c>
      <c r="Q503" s="596"/>
      <c r="R503" s="597"/>
      <c r="S503" s="598"/>
      <c r="T503" s="598"/>
      <c r="U503" s="598"/>
      <c r="V503" s="598"/>
      <c r="W503" s="598"/>
      <c r="X503" s="596"/>
      <c r="Y503" s="596"/>
      <c r="Z503" s="596"/>
      <c r="AB503" s="597" t="s">
        <v>668</v>
      </c>
    </row>
    <row r="504" spans="1:28" s="575" customFormat="1">
      <c r="A504" s="616"/>
      <c r="B504" s="591" t="s">
        <v>828</v>
      </c>
      <c r="C504" s="591"/>
      <c r="D504" s="617"/>
      <c r="E504" s="618"/>
      <c r="F504" s="619"/>
      <c r="G504" s="620"/>
      <c r="H504" s="621"/>
      <c r="I504" s="622"/>
      <c r="J504" s="623"/>
      <c r="K504" s="586"/>
      <c r="L504" s="586"/>
      <c r="M504" s="571"/>
      <c r="N504" s="577" t="s">
        <v>611</v>
      </c>
      <c r="O504" s="577" t="s">
        <v>611</v>
      </c>
      <c r="P504" s="577" t="s">
        <v>611</v>
      </c>
      <c r="Q504" s="572"/>
      <c r="R504" s="573"/>
      <c r="S504" s="574"/>
      <c r="T504" s="574"/>
      <c r="U504" s="574"/>
      <c r="V504" s="574"/>
      <c r="W504" s="574"/>
      <c r="X504" s="572"/>
      <c r="Y504" s="572"/>
      <c r="Z504" s="572"/>
      <c r="AB504" s="573" t="s">
        <v>668</v>
      </c>
    </row>
    <row r="505" spans="1:28" s="575" customFormat="1">
      <c r="A505" s="616"/>
      <c r="B505" s="576" t="s">
        <v>673</v>
      </c>
      <c r="C505" s="591"/>
      <c r="D505" s="617"/>
      <c r="E505" s="618">
        <v>40.69</v>
      </c>
      <c r="F505" s="619"/>
      <c r="G505" s="620">
        <v>2.2000000000000002</v>
      </c>
      <c r="H505" s="621">
        <f>G505*E505</f>
        <v>89.518000000000001</v>
      </c>
      <c r="I505" s="622"/>
      <c r="J505" s="623"/>
      <c r="K505" s="586">
        <f t="shared" ref="K505:K509" si="22">H505</f>
        <v>89.518000000000001</v>
      </c>
      <c r="L505" s="586"/>
      <c r="M505" s="571"/>
      <c r="N505" s="577" t="s">
        <v>611</v>
      </c>
      <c r="O505" s="577">
        <v>3</v>
      </c>
      <c r="P505" s="577" t="s">
        <v>611</v>
      </c>
      <c r="Q505" s="572"/>
      <c r="R505" s="573"/>
      <c r="S505" s="574"/>
      <c r="T505" s="574"/>
      <c r="U505" s="574"/>
      <c r="V505" s="574"/>
      <c r="W505" s="574"/>
      <c r="X505" s="572"/>
      <c r="Y505" s="572"/>
      <c r="Z505" s="572"/>
      <c r="AB505" s="573" t="s">
        <v>668</v>
      </c>
    </row>
    <row r="506" spans="1:28" s="575" customFormat="1">
      <c r="A506" s="616"/>
      <c r="B506" s="576" t="s">
        <v>829</v>
      </c>
      <c r="C506" s="591"/>
      <c r="D506" s="617"/>
      <c r="E506" s="618">
        <v>99.78</v>
      </c>
      <c r="F506" s="619"/>
      <c r="G506" s="620">
        <v>2.2000000000000002</v>
      </c>
      <c r="H506" s="621">
        <f t="shared" ref="H506:H509" si="23">G506*E506</f>
        <v>219.51600000000002</v>
      </c>
      <c r="I506" s="622"/>
      <c r="J506" s="623"/>
      <c r="K506" s="586">
        <f t="shared" si="22"/>
        <v>219.51600000000002</v>
      </c>
      <c r="L506" s="586"/>
      <c r="M506" s="571"/>
      <c r="N506" s="577" t="s">
        <v>611</v>
      </c>
      <c r="O506" s="577">
        <v>3</v>
      </c>
      <c r="P506" s="577" t="s">
        <v>611</v>
      </c>
      <c r="Q506" s="572"/>
      <c r="R506" s="573"/>
      <c r="S506" s="574"/>
      <c r="T506" s="574"/>
      <c r="U506" s="574"/>
      <c r="V506" s="574"/>
      <c r="W506" s="574"/>
      <c r="X506" s="572"/>
      <c r="Y506" s="572"/>
      <c r="Z506" s="572"/>
      <c r="AB506" s="573" t="s">
        <v>668</v>
      </c>
    </row>
    <row r="507" spans="1:28" s="575" customFormat="1">
      <c r="A507" s="616"/>
      <c r="B507" s="576" t="s">
        <v>830</v>
      </c>
      <c r="C507" s="591"/>
      <c r="D507" s="617"/>
      <c r="E507" s="618">
        <v>60</v>
      </c>
      <c r="F507" s="619"/>
      <c r="G507" s="620">
        <v>2.2000000000000002</v>
      </c>
      <c r="H507" s="621">
        <f t="shared" si="23"/>
        <v>132</v>
      </c>
      <c r="I507" s="622"/>
      <c r="J507" s="623"/>
      <c r="K507" s="586">
        <f t="shared" si="22"/>
        <v>132</v>
      </c>
      <c r="L507" s="586"/>
      <c r="M507" s="571"/>
      <c r="N507" s="577" t="s">
        <v>611</v>
      </c>
      <c r="O507" s="577">
        <v>3</v>
      </c>
      <c r="P507" s="577" t="s">
        <v>611</v>
      </c>
      <c r="Q507" s="572"/>
      <c r="R507" s="573"/>
      <c r="S507" s="574"/>
      <c r="T507" s="574"/>
      <c r="U507" s="574"/>
      <c r="V507" s="574"/>
      <c r="W507" s="574"/>
      <c r="X507" s="572"/>
      <c r="Y507" s="572"/>
      <c r="Z507" s="572"/>
      <c r="AB507" s="573" t="s">
        <v>668</v>
      </c>
    </row>
    <row r="508" spans="1:28" s="575" customFormat="1">
      <c r="A508" s="616"/>
      <c r="B508" s="576" t="s">
        <v>831</v>
      </c>
      <c r="C508" s="591"/>
      <c r="D508" s="617"/>
      <c r="E508" s="618">
        <v>88.13</v>
      </c>
      <c r="F508" s="619"/>
      <c r="G508" s="620">
        <v>1.8</v>
      </c>
      <c r="H508" s="621">
        <f t="shared" si="23"/>
        <v>158.63399999999999</v>
      </c>
      <c r="I508" s="622"/>
      <c r="J508" s="623"/>
      <c r="K508" s="586">
        <f t="shared" si="22"/>
        <v>158.63399999999999</v>
      </c>
      <c r="L508" s="586"/>
      <c r="M508" s="571"/>
      <c r="N508" s="577" t="s">
        <v>611</v>
      </c>
      <c r="O508" s="577">
        <v>3</v>
      </c>
      <c r="P508" s="577" t="s">
        <v>611</v>
      </c>
      <c r="Q508" s="572"/>
      <c r="R508" s="573"/>
      <c r="S508" s="574"/>
      <c r="T508" s="574"/>
      <c r="U508" s="574"/>
      <c r="V508" s="574"/>
      <c r="W508" s="574"/>
      <c r="X508" s="572"/>
      <c r="Y508" s="572"/>
      <c r="Z508" s="572"/>
      <c r="AB508" s="573" t="s">
        <v>668</v>
      </c>
    </row>
    <row r="509" spans="1:28" s="575" customFormat="1">
      <c r="A509" s="616"/>
      <c r="B509" s="576" t="s">
        <v>832</v>
      </c>
      <c r="C509" s="591"/>
      <c r="D509" s="617"/>
      <c r="E509" s="618">
        <v>8.65</v>
      </c>
      <c r="F509" s="619"/>
      <c r="G509" s="620">
        <v>1.7</v>
      </c>
      <c r="H509" s="621">
        <f t="shared" si="23"/>
        <v>14.705</v>
      </c>
      <c r="I509" s="622"/>
      <c r="J509" s="623"/>
      <c r="K509" s="586">
        <f t="shared" si="22"/>
        <v>14.705</v>
      </c>
      <c r="L509" s="586"/>
      <c r="M509" s="571"/>
      <c r="N509" s="577" t="s">
        <v>611</v>
      </c>
      <c r="O509" s="577">
        <v>3</v>
      </c>
      <c r="P509" s="577" t="s">
        <v>611</v>
      </c>
      <c r="Q509" s="572"/>
      <c r="R509" s="573"/>
      <c r="S509" s="574"/>
      <c r="T509" s="574"/>
      <c r="U509" s="574"/>
      <c r="V509" s="574"/>
      <c r="W509" s="574"/>
      <c r="X509" s="572"/>
      <c r="Y509" s="572"/>
      <c r="Z509" s="572"/>
      <c r="AB509" s="573" t="s">
        <v>668</v>
      </c>
    </row>
    <row r="510" spans="1:28" s="678" customFormat="1">
      <c r="A510" s="661"/>
      <c r="B510" s="662" t="s">
        <v>679</v>
      </c>
      <c r="C510" s="663"/>
      <c r="D510" s="664"/>
      <c r="E510" s="665"/>
      <c r="F510" s="666"/>
      <c r="G510" s="667"/>
      <c r="H510" s="668"/>
      <c r="I510" s="669"/>
      <c r="J510" s="670"/>
      <c r="K510" s="671"/>
      <c r="L510" s="671"/>
      <c r="M510" s="672"/>
      <c r="N510" s="673" t="s">
        <v>55</v>
      </c>
      <c r="O510" s="673" t="s">
        <v>202</v>
      </c>
      <c r="P510" s="674" t="s">
        <v>181</v>
      </c>
      <c r="Q510" s="675"/>
      <c r="R510" s="676"/>
      <c r="S510" s="677"/>
      <c r="T510" s="677"/>
      <c r="U510" s="677"/>
      <c r="V510" s="677"/>
      <c r="W510" s="677"/>
      <c r="X510" s="675"/>
      <c r="Y510" s="675"/>
      <c r="Z510" s="675"/>
      <c r="AB510" s="676"/>
    </row>
    <row r="511" spans="1:28" s="575" customFormat="1">
      <c r="A511" s="616"/>
      <c r="B511" s="570" t="s">
        <v>669</v>
      </c>
      <c r="C511" s="591"/>
      <c r="D511" s="617"/>
      <c r="E511" s="618"/>
      <c r="F511" s="619"/>
      <c r="G511" s="620"/>
      <c r="H511" s="621"/>
      <c r="I511" s="622"/>
      <c r="J511" s="623"/>
      <c r="K511" s="586"/>
      <c r="L511" s="586"/>
      <c r="M511" s="571"/>
      <c r="N511" s="577" t="s">
        <v>611</v>
      </c>
      <c r="O511" s="577" t="s">
        <v>611</v>
      </c>
      <c r="P511" s="577" t="s">
        <v>611</v>
      </c>
      <c r="Q511" s="572"/>
      <c r="R511" s="573"/>
      <c r="S511" s="574"/>
      <c r="T511" s="574"/>
      <c r="U511" s="574"/>
      <c r="V511" s="574"/>
      <c r="W511" s="574"/>
      <c r="X511" s="572"/>
      <c r="Y511" s="572"/>
      <c r="Z511" s="572"/>
      <c r="AB511" s="573" t="s">
        <v>668</v>
      </c>
    </row>
    <row r="512" spans="1:28" s="575" customFormat="1">
      <c r="A512" s="616"/>
      <c r="B512" s="591" t="s">
        <v>666</v>
      </c>
      <c r="C512" s="591"/>
      <c r="D512" s="617"/>
      <c r="E512" s="618"/>
      <c r="F512" s="619"/>
      <c r="G512" s="620"/>
      <c r="H512" s="622"/>
      <c r="I512" s="622"/>
      <c r="J512" s="623"/>
      <c r="K512" s="586"/>
      <c r="L512" s="586"/>
      <c r="M512" s="571"/>
      <c r="N512" s="577" t="s">
        <v>611</v>
      </c>
      <c r="O512" s="577" t="s">
        <v>611</v>
      </c>
      <c r="P512" s="577" t="s">
        <v>611</v>
      </c>
      <c r="Q512" s="572"/>
      <c r="R512" s="573"/>
      <c r="S512" s="574"/>
      <c r="T512" s="574"/>
      <c r="U512" s="574"/>
      <c r="V512" s="574"/>
      <c r="W512" s="574"/>
      <c r="X512" s="572"/>
      <c r="Y512" s="572"/>
      <c r="Z512" s="572"/>
      <c r="AB512" s="573" t="s">
        <v>668</v>
      </c>
    </row>
    <row r="513" spans="1:28" s="575" customFormat="1">
      <c r="A513" s="616"/>
      <c r="B513" s="576" t="s">
        <v>772</v>
      </c>
      <c r="C513" s="591"/>
      <c r="D513" s="617"/>
      <c r="E513" s="618">
        <v>3.5</v>
      </c>
      <c r="F513" s="619">
        <v>0.3</v>
      </c>
      <c r="G513" s="619">
        <v>0.3</v>
      </c>
      <c r="H513" s="621">
        <f>G513*E513</f>
        <v>1.05</v>
      </c>
      <c r="I513" s="622">
        <f>H513*F513</f>
        <v>0.315</v>
      </c>
      <c r="J513" s="623"/>
      <c r="K513" s="586"/>
      <c r="L513" s="586"/>
      <c r="M513" s="571"/>
      <c r="N513" s="590" t="s">
        <v>611</v>
      </c>
      <c r="O513" s="590" t="s">
        <v>611</v>
      </c>
      <c r="P513" s="587" t="s">
        <v>611</v>
      </c>
      <c r="Q513" s="572"/>
      <c r="R513" s="573"/>
      <c r="S513" s="574"/>
      <c r="T513" s="574"/>
      <c r="U513" s="574"/>
      <c r="V513" s="574"/>
      <c r="W513" s="574"/>
      <c r="X513" s="572"/>
      <c r="Y513" s="572"/>
      <c r="Z513" s="572"/>
      <c r="AB513" s="573"/>
    </row>
    <row r="514" spans="1:28" s="575" customFormat="1">
      <c r="A514" s="616"/>
      <c r="B514" s="576" t="s">
        <v>773</v>
      </c>
      <c r="C514" s="591"/>
      <c r="D514" s="617"/>
      <c r="E514" s="618">
        <v>64.05</v>
      </c>
      <c r="F514" s="619">
        <v>0.3</v>
      </c>
      <c r="G514" s="619">
        <v>0.3</v>
      </c>
      <c r="H514" s="621">
        <f t="shared" ref="H514:I529" si="24">G514*E514</f>
        <v>19.215</v>
      </c>
      <c r="I514" s="622">
        <f t="shared" si="24"/>
        <v>5.7645</v>
      </c>
      <c r="J514" s="623"/>
      <c r="K514" s="586"/>
      <c r="L514" s="586"/>
      <c r="M514" s="571"/>
      <c r="N514" s="590" t="s">
        <v>611</v>
      </c>
      <c r="O514" s="590" t="s">
        <v>611</v>
      </c>
      <c r="P514" s="587" t="s">
        <v>611</v>
      </c>
      <c r="Q514" s="572"/>
      <c r="R514" s="573"/>
      <c r="S514" s="574"/>
      <c r="T514" s="574"/>
      <c r="U514" s="574"/>
      <c r="V514" s="574"/>
      <c r="W514" s="574"/>
      <c r="X514" s="572"/>
      <c r="Y514" s="572"/>
      <c r="Z514" s="572"/>
      <c r="AB514" s="573"/>
    </row>
    <row r="515" spans="1:28" s="575" customFormat="1">
      <c r="A515" s="616"/>
      <c r="B515" s="576" t="s">
        <v>774</v>
      </c>
      <c r="C515" s="591"/>
      <c r="D515" s="617"/>
      <c r="E515" s="618">
        <v>1.8</v>
      </c>
      <c r="F515" s="619">
        <v>0.3</v>
      </c>
      <c r="G515" s="619">
        <v>0.3</v>
      </c>
      <c r="H515" s="621">
        <f t="shared" si="24"/>
        <v>0.54</v>
      </c>
      <c r="I515" s="622">
        <f t="shared" si="24"/>
        <v>0.16200000000000001</v>
      </c>
      <c r="J515" s="623"/>
      <c r="K515" s="586"/>
      <c r="L515" s="586"/>
      <c r="M515" s="571"/>
      <c r="N515" s="590" t="s">
        <v>611</v>
      </c>
      <c r="O515" s="590" t="s">
        <v>611</v>
      </c>
      <c r="P515" s="587" t="s">
        <v>611</v>
      </c>
      <c r="Q515" s="572"/>
      <c r="R515" s="573"/>
      <c r="S515" s="574"/>
      <c r="T515" s="574"/>
      <c r="U515" s="574"/>
      <c r="V515" s="574"/>
      <c r="W515" s="574"/>
      <c r="X515" s="572"/>
      <c r="Y515" s="572"/>
      <c r="Z515" s="572"/>
      <c r="AB515" s="573"/>
    </row>
    <row r="516" spans="1:28" s="575" customFormat="1">
      <c r="A516" s="616"/>
      <c r="B516" s="576" t="s">
        <v>775</v>
      </c>
      <c r="C516" s="591"/>
      <c r="D516" s="617"/>
      <c r="E516" s="618">
        <v>15.35</v>
      </c>
      <c r="F516" s="619">
        <v>0.3</v>
      </c>
      <c r="G516" s="619">
        <v>0.3</v>
      </c>
      <c r="H516" s="621">
        <f t="shared" si="24"/>
        <v>4.6049999999999995</v>
      </c>
      <c r="I516" s="622">
        <f t="shared" si="24"/>
        <v>1.3814999999999997</v>
      </c>
      <c r="J516" s="623"/>
      <c r="K516" s="586"/>
      <c r="L516" s="586"/>
      <c r="M516" s="571"/>
      <c r="N516" s="590" t="s">
        <v>611</v>
      </c>
      <c r="O516" s="590" t="s">
        <v>611</v>
      </c>
      <c r="P516" s="587" t="s">
        <v>611</v>
      </c>
      <c r="Q516" s="572"/>
      <c r="R516" s="573"/>
      <c r="S516" s="574"/>
      <c r="T516" s="574"/>
      <c r="U516" s="574"/>
      <c r="V516" s="574"/>
      <c r="W516" s="574"/>
      <c r="X516" s="572"/>
      <c r="Y516" s="572"/>
      <c r="Z516" s="572"/>
      <c r="AB516" s="573"/>
    </row>
    <row r="517" spans="1:28" s="575" customFormat="1">
      <c r="A517" s="616"/>
      <c r="B517" s="576" t="s">
        <v>776</v>
      </c>
      <c r="C517" s="591"/>
      <c r="D517" s="617"/>
      <c r="E517" s="618">
        <v>2.1</v>
      </c>
      <c r="F517" s="619">
        <v>0.3</v>
      </c>
      <c r="G517" s="619">
        <v>0.3</v>
      </c>
      <c r="H517" s="621">
        <f t="shared" si="24"/>
        <v>0.63</v>
      </c>
      <c r="I517" s="622">
        <f t="shared" si="24"/>
        <v>0.189</v>
      </c>
      <c r="J517" s="623"/>
      <c r="K517" s="586"/>
      <c r="L517" s="586"/>
      <c r="M517" s="571"/>
      <c r="N517" s="590" t="s">
        <v>611</v>
      </c>
      <c r="O517" s="590" t="s">
        <v>611</v>
      </c>
      <c r="P517" s="587" t="s">
        <v>611</v>
      </c>
      <c r="Q517" s="572"/>
      <c r="R517" s="573"/>
      <c r="S517" s="574"/>
      <c r="T517" s="574"/>
      <c r="U517" s="574"/>
      <c r="V517" s="574"/>
      <c r="W517" s="574"/>
      <c r="X517" s="572"/>
      <c r="Y517" s="572"/>
      <c r="Z517" s="572"/>
      <c r="AB517" s="573"/>
    </row>
    <row r="518" spans="1:28" s="575" customFormat="1">
      <c r="A518" s="616"/>
      <c r="B518" s="576" t="s">
        <v>777</v>
      </c>
      <c r="C518" s="591"/>
      <c r="D518" s="617"/>
      <c r="E518" s="618">
        <v>38.450000000000003</v>
      </c>
      <c r="F518" s="619">
        <v>0.3</v>
      </c>
      <c r="G518" s="619">
        <v>0.3</v>
      </c>
      <c r="H518" s="621">
        <f t="shared" si="24"/>
        <v>11.535</v>
      </c>
      <c r="I518" s="622">
        <f t="shared" si="24"/>
        <v>3.4605000000000001</v>
      </c>
      <c r="J518" s="623"/>
      <c r="K518" s="586"/>
      <c r="L518" s="586"/>
      <c r="M518" s="571"/>
      <c r="N518" s="590" t="s">
        <v>611</v>
      </c>
      <c r="O518" s="590" t="s">
        <v>611</v>
      </c>
      <c r="P518" s="587" t="s">
        <v>611</v>
      </c>
      <c r="Q518" s="572"/>
      <c r="R518" s="573"/>
      <c r="S518" s="574"/>
      <c r="T518" s="574"/>
      <c r="U518" s="574"/>
      <c r="V518" s="574"/>
      <c r="W518" s="574"/>
      <c r="X518" s="572"/>
      <c r="Y518" s="572"/>
      <c r="Z518" s="572"/>
      <c r="AB518" s="573"/>
    </row>
    <row r="519" spans="1:28" s="575" customFormat="1">
      <c r="A519" s="616"/>
      <c r="B519" s="576" t="s">
        <v>778</v>
      </c>
      <c r="C519" s="591"/>
      <c r="D519" s="617"/>
      <c r="E519" s="618">
        <v>2.4</v>
      </c>
      <c r="F519" s="619">
        <v>0.3</v>
      </c>
      <c r="G519" s="619">
        <v>0.3</v>
      </c>
      <c r="H519" s="621">
        <f t="shared" si="24"/>
        <v>0.72</v>
      </c>
      <c r="I519" s="622">
        <f t="shared" si="24"/>
        <v>0.216</v>
      </c>
      <c r="J519" s="623"/>
      <c r="K519" s="586"/>
      <c r="L519" s="586"/>
      <c r="M519" s="571"/>
      <c r="N519" s="590" t="s">
        <v>611</v>
      </c>
      <c r="O519" s="590" t="s">
        <v>611</v>
      </c>
      <c r="P519" s="587" t="s">
        <v>611</v>
      </c>
      <c r="Q519" s="572"/>
      <c r="R519" s="573"/>
      <c r="S519" s="574"/>
      <c r="T519" s="574"/>
      <c r="U519" s="574"/>
      <c r="V519" s="574"/>
      <c r="W519" s="574"/>
      <c r="X519" s="572"/>
      <c r="Y519" s="572"/>
      <c r="Z519" s="572"/>
      <c r="AB519" s="573"/>
    </row>
    <row r="520" spans="1:28" s="575" customFormat="1">
      <c r="A520" s="616"/>
      <c r="B520" s="576" t="s">
        <v>779</v>
      </c>
      <c r="C520" s="591"/>
      <c r="D520" s="617"/>
      <c r="E520" s="618">
        <v>6</v>
      </c>
      <c r="F520" s="619">
        <v>0.3</v>
      </c>
      <c r="G520" s="619">
        <v>0.3</v>
      </c>
      <c r="H520" s="621">
        <f t="shared" si="24"/>
        <v>1.7999999999999998</v>
      </c>
      <c r="I520" s="622">
        <f t="shared" si="24"/>
        <v>0.53999999999999992</v>
      </c>
      <c r="J520" s="623"/>
      <c r="K520" s="586"/>
      <c r="L520" s="586"/>
      <c r="M520" s="571"/>
      <c r="N520" s="577" t="s">
        <v>611</v>
      </c>
      <c r="O520" s="577">
        <v>1</v>
      </c>
      <c r="P520" s="577" t="s">
        <v>611</v>
      </c>
      <c r="Q520" s="572"/>
      <c r="R520" s="573"/>
      <c r="S520" s="574"/>
      <c r="T520" s="574"/>
      <c r="U520" s="574"/>
      <c r="V520" s="574"/>
      <c r="W520" s="574"/>
      <c r="X520" s="572"/>
      <c r="Y520" s="572"/>
      <c r="Z520" s="572"/>
      <c r="AB520" s="573" t="s">
        <v>668</v>
      </c>
    </row>
    <row r="521" spans="1:28" s="575" customFormat="1">
      <c r="A521" s="616"/>
      <c r="B521" s="576" t="s">
        <v>780</v>
      </c>
      <c r="C521" s="591"/>
      <c r="D521" s="617"/>
      <c r="E521" s="618">
        <v>4.25</v>
      </c>
      <c r="F521" s="619">
        <v>0.3</v>
      </c>
      <c r="G521" s="619">
        <v>0.3</v>
      </c>
      <c r="H521" s="621">
        <f t="shared" si="24"/>
        <v>1.2749999999999999</v>
      </c>
      <c r="I521" s="622">
        <f t="shared" si="24"/>
        <v>0.38249999999999995</v>
      </c>
      <c r="J521" s="623"/>
      <c r="K521" s="586"/>
      <c r="L521" s="586"/>
      <c r="M521" s="571"/>
      <c r="N521" s="590" t="s">
        <v>611</v>
      </c>
      <c r="O521" s="590" t="s">
        <v>611</v>
      </c>
      <c r="P521" s="587" t="s">
        <v>611</v>
      </c>
      <c r="Q521" s="572"/>
      <c r="R521" s="573"/>
      <c r="S521" s="574"/>
      <c r="T521" s="574"/>
      <c r="U521" s="574"/>
      <c r="V521" s="574"/>
      <c r="W521" s="574"/>
      <c r="X521" s="572"/>
      <c r="Y521" s="572"/>
      <c r="Z521" s="572"/>
      <c r="AB521" s="573"/>
    </row>
    <row r="522" spans="1:28" s="575" customFormat="1">
      <c r="A522" s="616"/>
      <c r="B522" s="576" t="s">
        <v>781</v>
      </c>
      <c r="C522" s="591"/>
      <c r="D522" s="617"/>
      <c r="E522" s="618">
        <v>4</v>
      </c>
      <c r="F522" s="619">
        <v>0.3</v>
      </c>
      <c r="G522" s="619">
        <v>0.3</v>
      </c>
      <c r="H522" s="621">
        <f t="shared" si="24"/>
        <v>1.2</v>
      </c>
      <c r="I522" s="622">
        <f t="shared" si="24"/>
        <v>0.36</v>
      </c>
      <c r="J522" s="623"/>
      <c r="K522" s="586"/>
      <c r="L522" s="586"/>
      <c r="M522" s="571"/>
      <c r="N522" s="590" t="s">
        <v>611</v>
      </c>
      <c r="O522" s="590" t="s">
        <v>611</v>
      </c>
      <c r="P522" s="587" t="s">
        <v>611</v>
      </c>
      <c r="Q522" s="572"/>
      <c r="R522" s="573"/>
      <c r="S522" s="574"/>
      <c r="T522" s="574"/>
      <c r="U522" s="574"/>
      <c r="V522" s="574"/>
      <c r="W522" s="574"/>
      <c r="X522" s="572"/>
      <c r="Y522" s="572"/>
      <c r="Z522" s="572"/>
      <c r="AB522" s="573"/>
    </row>
    <row r="523" spans="1:28" s="575" customFormat="1">
      <c r="A523" s="616"/>
      <c r="B523" s="576" t="s">
        <v>782</v>
      </c>
      <c r="C523" s="591"/>
      <c r="D523" s="617"/>
      <c r="E523" s="618">
        <f>1+1.1</f>
        <v>2.1</v>
      </c>
      <c r="F523" s="619">
        <v>0.3</v>
      </c>
      <c r="G523" s="619">
        <v>0.3</v>
      </c>
      <c r="H523" s="621">
        <f t="shared" si="24"/>
        <v>0.63</v>
      </c>
      <c r="I523" s="622">
        <f t="shared" si="24"/>
        <v>0.189</v>
      </c>
      <c r="J523" s="623"/>
      <c r="K523" s="586"/>
      <c r="L523" s="586"/>
      <c r="M523" s="571"/>
      <c r="N523" s="590" t="s">
        <v>611</v>
      </c>
      <c r="O523" s="590" t="s">
        <v>611</v>
      </c>
      <c r="P523" s="587" t="s">
        <v>611</v>
      </c>
      <c r="Q523" s="572"/>
      <c r="R523" s="573"/>
      <c r="S523" s="574"/>
      <c r="T523" s="574"/>
      <c r="U523" s="574"/>
      <c r="V523" s="574"/>
      <c r="W523" s="574"/>
      <c r="X523" s="572"/>
      <c r="Y523" s="572"/>
      <c r="Z523" s="572"/>
      <c r="AB523" s="573"/>
    </row>
    <row r="524" spans="1:28" s="575" customFormat="1">
      <c r="A524" s="616"/>
      <c r="B524" s="576" t="s">
        <v>783</v>
      </c>
      <c r="C524" s="591"/>
      <c r="D524" s="617"/>
      <c r="E524" s="618">
        <v>6</v>
      </c>
      <c r="F524" s="619">
        <v>0.3</v>
      </c>
      <c r="G524" s="619">
        <v>0.3</v>
      </c>
      <c r="H524" s="621">
        <f t="shared" si="24"/>
        <v>1.7999999999999998</v>
      </c>
      <c r="I524" s="622">
        <f t="shared" si="24"/>
        <v>0.53999999999999992</v>
      </c>
      <c r="J524" s="623"/>
      <c r="K524" s="586"/>
      <c r="L524" s="586"/>
      <c r="M524" s="571"/>
      <c r="N524" s="590" t="s">
        <v>611</v>
      </c>
      <c r="O524" s="590" t="s">
        <v>611</v>
      </c>
      <c r="P524" s="587" t="s">
        <v>611</v>
      </c>
      <c r="Q524" s="572"/>
      <c r="R524" s="573"/>
      <c r="S524" s="574"/>
      <c r="T524" s="574"/>
      <c r="U524" s="574"/>
      <c r="V524" s="574"/>
      <c r="W524" s="574"/>
      <c r="X524" s="572"/>
      <c r="Y524" s="572"/>
      <c r="Z524" s="572"/>
      <c r="AB524" s="573"/>
    </row>
    <row r="525" spans="1:28" s="575" customFormat="1" ht="46.5">
      <c r="A525" s="616"/>
      <c r="B525" s="576" t="s">
        <v>784</v>
      </c>
      <c r="C525" s="591"/>
      <c r="D525" s="617"/>
      <c r="E525" s="618">
        <v>3.65</v>
      </c>
      <c r="F525" s="619">
        <v>0.3</v>
      </c>
      <c r="G525" s="619">
        <v>0.3</v>
      </c>
      <c r="H525" s="621">
        <f t="shared" si="24"/>
        <v>1.095</v>
      </c>
      <c r="I525" s="622">
        <f t="shared" si="24"/>
        <v>0.32849999999999996</v>
      </c>
      <c r="J525" s="623"/>
      <c r="K525" s="586"/>
      <c r="L525" s="586"/>
      <c r="M525" s="571"/>
      <c r="N525" s="590" t="s">
        <v>611</v>
      </c>
      <c r="O525" s="590" t="s">
        <v>611</v>
      </c>
      <c r="P525" s="587" t="s">
        <v>611</v>
      </c>
      <c r="Q525" s="572"/>
      <c r="R525" s="573"/>
      <c r="S525" s="574"/>
      <c r="T525" s="574"/>
      <c r="U525" s="574"/>
      <c r="V525" s="574"/>
      <c r="W525" s="574"/>
      <c r="X525" s="572"/>
      <c r="Y525" s="572"/>
      <c r="Z525" s="572"/>
      <c r="AB525" s="573"/>
    </row>
    <row r="526" spans="1:28" s="575" customFormat="1" ht="46.5">
      <c r="A526" s="616"/>
      <c r="B526" s="576" t="s">
        <v>785</v>
      </c>
      <c r="C526" s="591"/>
      <c r="D526" s="617"/>
      <c r="E526" s="618">
        <v>6</v>
      </c>
      <c r="F526" s="619">
        <v>0.3</v>
      </c>
      <c r="G526" s="619">
        <v>0.3</v>
      </c>
      <c r="H526" s="621">
        <f t="shared" si="24"/>
        <v>1.7999999999999998</v>
      </c>
      <c r="I526" s="622">
        <f t="shared" si="24"/>
        <v>0.53999999999999992</v>
      </c>
      <c r="J526" s="623"/>
      <c r="K526" s="586"/>
      <c r="L526" s="586"/>
      <c r="M526" s="571"/>
      <c r="N526" s="590" t="s">
        <v>611</v>
      </c>
      <c r="O526" s="590" t="s">
        <v>611</v>
      </c>
      <c r="P526" s="587" t="s">
        <v>611</v>
      </c>
      <c r="Q526" s="572"/>
      <c r="R526" s="573"/>
      <c r="S526" s="574"/>
      <c r="T526" s="574"/>
      <c r="U526" s="574"/>
      <c r="V526" s="574"/>
      <c r="W526" s="574"/>
      <c r="X526" s="572"/>
      <c r="Y526" s="572"/>
      <c r="Z526" s="572"/>
      <c r="AB526" s="573"/>
    </row>
    <row r="527" spans="1:28" s="575" customFormat="1" ht="46.5">
      <c r="A527" s="616"/>
      <c r="B527" s="576" t="s">
        <v>786</v>
      </c>
      <c r="C527" s="591"/>
      <c r="D527" s="617"/>
      <c r="E527" s="618">
        <v>4.8499999999999996</v>
      </c>
      <c r="F527" s="619">
        <v>0.3</v>
      </c>
      <c r="G527" s="619">
        <v>0.3</v>
      </c>
      <c r="H527" s="621">
        <f t="shared" si="24"/>
        <v>1.4549999999999998</v>
      </c>
      <c r="I527" s="622">
        <f t="shared" si="24"/>
        <v>0.43649999999999994</v>
      </c>
      <c r="J527" s="623"/>
      <c r="K527" s="586"/>
      <c r="L527" s="586"/>
      <c r="M527" s="571"/>
      <c r="N527" s="590" t="s">
        <v>611</v>
      </c>
      <c r="O527" s="590" t="s">
        <v>611</v>
      </c>
      <c r="P527" s="587" t="s">
        <v>611</v>
      </c>
      <c r="Q527" s="572"/>
      <c r="R527" s="573"/>
      <c r="S527" s="574"/>
      <c r="T527" s="574"/>
      <c r="U527" s="574"/>
      <c r="V527" s="574"/>
      <c r="W527" s="574"/>
      <c r="X527" s="572"/>
      <c r="Y527" s="572"/>
      <c r="Z527" s="572"/>
      <c r="AB527" s="573"/>
    </row>
    <row r="528" spans="1:28" s="575" customFormat="1" ht="46.5">
      <c r="A528" s="616"/>
      <c r="B528" s="576" t="s">
        <v>787</v>
      </c>
      <c r="C528" s="591"/>
      <c r="D528" s="617"/>
      <c r="E528" s="618">
        <v>5.7</v>
      </c>
      <c r="F528" s="619">
        <v>0.3</v>
      </c>
      <c r="G528" s="619">
        <v>0.3</v>
      </c>
      <c r="H528" s="621">
        <f t="shared" si="24"/>
        <v>1.71</v>
      </c>
      <c r="I528" s="622">
        <f t="shared" si="24"/>
        <v>0.51300000000000001</v>
      </c>
      <c r="J528" s="623"/>
      <c r="K528" s="586"/>
      <c r="L528" s="586"/>
      <c r="M528" s="571"/>
      <c r="N528" s="590" t="s">
        <v>611</v>
      </c>
      <c r="O528" s="590" t="s">
        <v>611</v>
      </c>
      <c r="P528" s="587" t="s">
        <v>611</v>
      </c>
      <c r="Q528" s="572"/>
      <c r="R528" s="573"/>
      <c r="S528" s="574"/>
      <c r="T528" s="574"/>
      <c r="U528" s="574"/>
      <c r="V528" s="574"/>
      <c r="W528" s="574"/>
      <c r="X528" s="572"/>
      <c r="Y528" s="572"/>
      <c r="Z528" s="572"/>
      <c r="AB528" s="573"/>
    </row>
    <row r="529" spans="1:28" s="575" customFormat="1" ht="46.5">
      <c r="A529" s="616"/>
      <c r="B529" s="576" t="s">
        <v>788</v>
      </c>
      <c r="C529" s="591"/>
      <c r="D529" s="617"/>
      <c r="E529" s="618">
        <v>4.8499999999999996</v>
      </c>
      <c r="F529" s="619">
        <v>0.3</v>
      </c>
      <c r="G529" s="619">
        <v>0.3</v>
      </c>
      <c r="H529" s="621">
        <f t="shared" si="24"/>
        <v>1.4549999999999998</v>
      </c>
      <c r="I529" s="622">
        <f t="shared" si="24"/>
        <v>0.43649999999999994</v>
      </c>
      <c r="J529" s="623"/>
      <c r="K529" s="586"/>
      <c r="L529" s="586"/>
      <c r="M529" s="571"/>
      <c r="N529" s="590" t="s">
        <v>611</v>
      </c>
      <c r="O529" s="590" t="s">
        <v>611</v>
      </c>
      <c r="P529" s="587" t="s">
        <v>611</v>
      </c>
      <c r="Q529" s="572"/>
      <c r="R529" s="573"/>
      <c r="S529" s="574"/>
      <c r="T529" s="574"/>
      <c r="U529" s="574"/>
      <c r="V529" s="574"/>
      <c r="W529" s="574"/>
      <c r="X529" s="572"/>
      <c r="Y529" s="572"/>
      <c r="Z529" s="572"/>
      <c r="AB529" s="573"/>
    </row>
    <row r="530" spans="1:28" s="575" customFormat="1" ht="27.75" customHeight="1">
      <c r="A530" s="616"/>
      <c r="B530" s="576" t="s">
        <v>789</v>
      </c>
      <c r="C530" s="591"/>
      <c r="D530" s="617"/>
      <c r="E530" s="618">
        <v>6</v>
      </c>
      <c r="F530" s="619">
        <v>0.3</v>
      </c>
      <c r="G530" s="619">
        <v>0.3</v>
      </c>
      <c r="H530" s="621">
        <f t="shared" ref="H530:I545" si="25">G530*E530</f>
        <v>1.7999999999999998</v>
      </c>
      <c r="I530" s="622">
        <f t="shared" si="25"/>
        <v>0.53999999999999992</v>
      </c>
      <c r="J530" s="623"/>
      <c r="K530" s="586"/>
      <c r="L530" s="586"/>
      <c r="M530" s="571"/>
      <c r="N530" s="590" t="s">
        <v>611</v>
      </c>
      <c r="O530" s="590" t="s">
        <v>611</v>
      </c>
      <c r="P530" s="587" t="s">
        <v>611</v>
      </c>
      <c r="Q530" s="572"/>
      <c r="R530" s="573"/>
      <c r="S530" s="574"/>
      <c r="T530" s="574"/>
      <c r="U530" s="574"/>
      <c r="V530" s="574"/>
      <c r="W530" s="574"/>
      <c r="X530" s="572"/>
      <c r="Y530" s="572"/>
      <c r="Z530" s="572"/>
      <c r="AB530" s="573"/>
    </row>
    <row r="531" spans="1:28" s="575" customFormat="1" ht="33.75" customHeight="1">
      <c r="A531" s="616"/>
      <c r="B531" s="576" t="s">
        <v>790</v>
      </c>
      <c r="C531" s="591"/>
      <c r="D531" s="617"/>
      <c r="E531" s="618">
        <v>6</v>
      </c>
      <c r="F531" s="619">
        <v>0.3</v>
      </c>
      <c r="G531" s="619">
        <v>0.3</v>
      </c>
      <c r="H531" s="621">
        <f t="shared" si="25"/>
        <v>1.7999999999999998</v>
      </c>
      <c r="I531" s="622">
        <f t="shared" si="25"/>
        <v>0.53999999999999992</v>
      </c>
      <c r="J531" s="623"/>
      <c r="K531" s="586"/>
      <c r="L531" s="586"/>
      <c r="M531" s="571"/>
      <c r="N531" s="590" t="s">
        <v>611</v>
      </c>
      <c r="O531" s="590" t="s">
        <v>611</v>
      </c>
      <c r="P531" s="587" t="s">
        <v>611</v>
      </c>
      <c r="Q531" s="572"/>
      <c r="R531" s="573"/>
      <c r="S531" s="574"/>
      <c r="T531" s="574"/>
      <c r="U531" s="574"/>
      <c r="V531" s="574"/>
      <c r="W531" s="574"/>
      <c r="X531" s="572"/>
      <c r="Y531" s="572"/>
      <c r="Z531" s="572"/>
      <c r="AB531" s="573"/>
    </row>
    <row r="532" spans="1:28" s="575" customFormat="1" ht="29.25" customHeight="1">
      <c r="A532" s="616"/>
      <c r="B532" s="576" t="s">
        <v>791</v>
      </c>
      <c r="C532" s="591"/>
      <c r="D532" s="617"/>
      <c r="E532" s="618">
        <v>6</v>
      </c>
      <c r="F532" s="619">
        <v>0.3</v>
      </c>
      <c r="G532" s="619">
        <v>0.3</v>
      </c>
      <c r="H532" s="621">
        <f t="shared" si="25"/>
        <v>1.7999999999999998</v>
      </c>
      <c r="I532" s="622">
        <f t="shared" si="25"/>
        <v>0.53999999999999992</v>
      </c>
      <c r="J532" s="623"/>
      <c r="K532" s="586"/>
      <c r="L532" s="586"/>
      <c r="M532" s="571"/>
      <c r="N532" s="590" t="s">
        <v>611</v>
      </c>
      <c r="O532" s="590" t="s">
        <v>611</v>
      </c>
      <c r="P532" s="587" t="s">
        <v>611</v>
      </c>
      <c r="Q532" s="572"/>
      <c r="R532" s="573"/>
      <c r="S532" s="574"/>
      <c r="T532" s="574"/>
      <c r="U532" s="574"/>
      <c r="V532" s="574"/>
      <c r="W532" s="574"/>
      <c r="X532" s="572"/>
      <c r="Y532" s="572"/>
      <c r="Z532" s="572"/>
      <c r="AB532" s="573"/>
    </row>
    <row r="533" spans="1:28" s="575" customFormat="1" ht="46.5">
      <c r="A533" s="616"/>
      <c r="B533" s="576" t="s">
        <v>792</v>
      </c>
      <c r="C533" s="591"/>
      <c r="D533" s="617"/>
      <c r="E533" s="618">
        <v>5.8</v>
      </c>
      <c r="F533" s="619">
        <v>0.3</v>
      </c>
      <c r="G533" s="619">
        <v>0.3</v>
      </c>
      <c r="H533" s="621">
        <f t="shared" si="25"/>
        <v>1.74</v>
      </c>
      <c r="I533" s="622">
        <f t="shared" si="25"/>
        <v>0.52200000000000002</v>
      </c>
      <c r="J533" s="623"/>
      <c r="K533" s="586"/>
      <c r="L533" s="586"/>
      <c r="M533" s="571"/>
      <c r="N533" s="590" t="s">
        <v>611</v>
      </c>
      <c r="O533" s="590" t="s">
        <v>611</v>
      </c>
      <c r="P533" s="587" t="s">
        <v>611</v>
      </c>
      <c r="Q533" s="572"/>
      <c r="R533" s="573"/>
      <c r="S533" s="574"/>
      <c r="T533" s="574"/>
      <c r="U533" s="574"/>
      <c r="V533" s="574"/>
      <c r="W533" s="574"/>
      <c r="X533" s="572"/>
      <c r="Y533" s="572"/>
      <c r="Z533" s="572"/>
      <c r="AB533" s="573"/>
    </row>
    <row r="534" spans="1:28" s="575" customFormat="1" ht="27.75" customHeight="1">
      <c r="A534" s="616"/>
      <c r="B534" s="576" t="s">
        <v>793</v>
      </c>
      <c r="C534" s="591"/>
      <c r="D534" s="617"/>
      <c r="E534" s="618">
        <v>1.8</v>
      </c>
      <c r="F534" s="619">
        <v>0.3</v>
      </c>
      <c r="G534" s="619">
        <v>0.3</v>
      </c>
      <c r="H534" s="621">
        <f t="shared" si="25"/>
        <v>0.54</v>
      </c>
      <c r="I534" s="622">
        <f t="shared" si="25"/>
        <v>0.16200000000000001</v>
      </c>
      <c r="J534" s="623"/>
      <c r="K534" s="586"/>
      <c r="L534" s="586"/>
      <c r="M534" s="571"/>
      <c r="N534" s="590" t="s">
        <v>611</v>
      </c>
      <c r="O534" s="590" t="s">
        <v>611</v>
      </c>
      <c r="P534" s="587" t="s">
        <v>611</v>
      </c>
      <c r="Q534" s="572"/>
      <c r="R534" s="573"/>
      <c r="S534" s="574"/>
      <c r="T534" s="574"/>
      <c r="U534" s="574"/>
      <c r="V534" s="574"/>
      <c r="W534" s="574"/>
      <c r="X534" s="572"/>
      <c r="Y534" s="572"/>
      <c r="Z534" s="572"/>
      <c r="AB534" s="573"/>
    </row>
    <row r="535" spans="1:28" s="575" customFormat="1" ht="46.5">
      <c r="A535" s="616"/>
      <c r="B535" s="576" t="s">
        <v>794</v>
      </c>
      <c r="C535" s="591"/>
      <c r="D535" s="617"/>
      <c r="E535" s="618">
        <v>2.85</v>
      </c>
      <c r="F535" s="619">
        <v>0.3</v>
      </c>
      <c r="G535" s="619">
        <v>0.3</v>
      </c>
      <c r="H535" s="621">
        <f t="shared" si="25"/>
        <v>0.85499999999999998</v>
      </c>
      <c r="I535" s="622">
        <f t="shared" si="25"/>
        <v>0.25650000000000001</v>
      </c>
      <c r="J535" s="623"/>
      <c r="K535" s="586"/>
      <c r="L535" s="586"/>
      <c r="M535" s="571"/>
      <c r="N535" s="590" t="s">
        <v>611</v>
      </c>
      <c r="O535" s="590" t="s">
        <v>611</v>
      </c>
      <c r="P535" s="587" t="s">
        <v>611</v>
      </c>
      <c r="Q535" s="572"/>
      <c r="R535" s="573"/>
      <c r="S535" s="574"/>
      <c r="T535" s="574"/>
      <c r="U535" s="574"/>
      <c r="V535" s="574"/>
      <c r="W535" s="574"/>
      <c r="X535" s="572"/>
      <c r="Y535" s="572"/>
      <c r="Z535" s="572"/>
      <c r="AB535" s="573"/>
    </row>
    <row r="536" spans="1:28" s="575" customFormat="1" ht="46.5">
      <c r="A536" s="616"/>
      <c r="B536" s="576" t="s">
        <v>795</v>
      </c>
      <c r="C536" s="591"/>
      <c r="D536" s="617"/>
      <c r="E536" s="618">
        <v>4.9000000000000004</v>
      </c>
      <c r="F536" s="619">
        <v>0.3</v>
      </c>
      <c r="G536" s="619">
        <v>0.3</v>
      </c>
      <c r="H536" s="621">
        <f t="shared" si="25"/>
        <v>1.47</v>
      </c>
      <c r="I536" s="622">
        <f t="shared" si="25"/>
        <v>0.441</v>
      </c>
      <c r="J536" s="623"/>
      <c r="K536" s="586"/>
      <c r="L536" s="586"/>
      <c r="M536" s="571"/>
      <c r="N536" s="590" t="s">
        <v>611</v>
      </c>
      <c r="O536" s="590" t="s">
        <v>611</v>
      </c>
      <c r="P536" s="587" t="s">
        <v>611</v>
      </c>
      <c r="Q536" s="572"/>
      <c r="R536" s="573"/>
      <c r="S536" s="574"/>
      <c r="T536" s="574"/>
      <c r="U536" s="574"/>
      <c r="V536" s="574"/>
      <c r="W536" s="574"/>
      <c r="X536" s="572"/>
      <c r="Y536" s="572"/>
      <c r="Z536" s="572"/>
      <c r="AB536" s="573"/>
    </row>
    <row r="537" spans="1:28" s="575" customFormat="1" ht="46.5">
      <c r="A537" s="616"/>
      <c r="B537" s="576" t="s">
        <v>796</v>
      </c>
      <c r="C537" s="591"/>
      <c r="D537" s="617"/>
      <c r="E537" s="618">
        <v>5.8</v>
      </c>
      <c r="F537" s="619">
        <v>0.3</v>
      </c>
      <c r="G537" s="619">
        <v>0.3</v>
      </c>
      <c r="H537" s="621">
        <f t="shared" si="25"/>
        <v>1.74</v>
      </c>
      <c r="I537" s="622">
        <f t="shared" si="25"/>
        <v>0.52200000000000002</v>
      </c>
      <c r="J537" s="623"/>
      <c r="K537" s="586"/>
      <c r="L537" s="586"/>
      <c r="M537" s="571"/>
      <c r="N537" s="590" t="s">
        <v>611</v>
      </c>
      <c r="O537" s="590" t="s">
        <v>611</v>
      </c>
      <c r="P537" s="587" t="s">
        <v>611</v>
      </c>
      <c r="Q537" s="572"/>
      <c r="R537" s="573"/>
      <c r="S537" s="574"/>
      <c r="T537" s="574"/>
      <c r="U537" s="574"/>
      <c r="V537" s="574"/>
      <c r="W537" s="574"/>
      <c r="X537" s="572"/>
      <c r="Y537" s="572"/>
      <c r="Z537" s="572"/>
      <c r="AB537" s="573"/>
    </row>
    <row r="538" spans="1:28" s="575" customFormat="1">
      <c r="A538" s="616"/>
      <c r="B538" s="576" t="s">
        <v>797</v>
      </c>
      <c r="C538" s="591"/>
      <c r="D538" s="617"/>
      <c r="E538" s="618">
        <v>1.8</v>
      </c>
      <c r="F538" s="619">
        <v>0.3</v>
      </c>
      <c r="G538" s="619">
        <v>0.3</v>
      </c>
      <c r="H538" s="621">
        <f t="shared" si="25"/>
        <v>0.54</v>
      </c>
      <c r="I538" s="622">
        <f t="shared" si="25"/>
        <v>0.16200000000000001</v>
      </c>
      <c r="J538" s="623"/>
      <c r="K538" s="586"/>
      <c r="L538" s="586"/>
      <c r="M538" s="571"/>
      <c r="N538" s="590" t="s">
        <v>611</v>
      </c>
      <c r="O538" s="590" t="s">
        <v>611</v>
      </c>
      <c r="P538" s="587" t="s">
        <v>611</v>
      </c>
      <c r="Q538" s="572"/>
      <c r="R538" s="573"/>
      <c r="S538" s="574"/>
      <c r="T538" s="574"/>
      <c r="U538" s="574"/>
      <c r="V538" s="574"/>
      <c r="W538" s="574"/>
      <c r="X538" s="572"/>
      <c r="Y538" s="572"/>
      <c r="Z538" s="572"/>
      <c r="AB538" s="573"/>
    </row>
    <row r="539" spans="1:28" s="575" customFormat="1">
      <c r="A539" s="616"/>
      <c r="B539" s="576" t="s">
        <v>798</v>
      </c>
      <c r="C539" s="591"/>
      <c r="D539" s="617"/>
      <c r="E539" s="618">
        <v>2.85</v>
      </c>
      <c r="F539" s="619">
        <v>0.3</v>
      </c>
      <c r="G539" s="619">
        <v>0.3</v>
      </c>
      <c r="H539" s="621">
        <f t="shared" si="25"/>
        <v>0.85499999999999998</v>
      </c>
      <c r="I539" s="622">
        <f t="shared" si="25"/>
        <v>0.25650000000000001</v>
      </c>
      <c r="J539" s="623"/>
      <c r="K539" s="586"/>
      <c r="L539" s="586"/>
      <c r="M539" s="571"/>
      <c r="N539" s="590" t="s">
        <v>611</v>
      </c>
      <c r="O539" s="590" t="s">
        <v>611</v>
      </c>
      <c r="P539" s="587" t="s">
        <v>611</v>
      </c>
      <c r="Q539" s="572"/>
      <c r="R539" s="573"/>
      <c r="S539" s="574"/>
      <c r="T539" s="574"/>
      <c r="U539" s="574"/>
      <c r="V539" s="574"/>
      <c r="W539" s="574"/>
      <c r="X539" s="572"/>
      <c r="Y539" s="572"/>
      <c r="Z539" s="572"/>
      <c r="AB539" s="573"/>
    </row>
    <row r="540" spans="1:28" s="575" customFormat="1">
      <c r="A540" s="616"/>
      <c r="B540" s="576" t="s">
        <v>799</v>
      </c>
      <c r="C540" s="591"/>
      <c r="D540" s="617"/>
      <c r="E540" s="618">
        <v>6</v>
      </c>
      <c r="F540" s="619">
        <v>0.3</v>
      </c>
      <c r="G540" s="619">
        <v>0.3</v>
      </c>
      <c r="H540" s="621">
        <f t="shared" si="25"/>
        <v>1.7999999999999998</v>
      </c>
      <c r="I540" s="622">
        <f t="shared" si="25"/>
        <v>0.53999999999999992</v>
      </c>
      <c r="J540" s="623"/>
      <c r="K540" s="586"/>
      <c r="L540" s="586"/>
      <c r="M540" s="571"/>
      <c r="N540" s="590" t="s">
        <v>611</v>
      </c>
      <c r="O540" s="590" t="s">
        <v>611</v>
      </c>
      <c r="P540" s="587" t="s">
        <v>611</v>
      </c>
      <c r="Q540" s="572"/>
      <c r="R540" s="573"/>
      <c r="S540" s="574"/>
      <c r="T540" s="574"/>
      <c r="U540" s="574"/>
      <c r="V540" s="574"/>
      <c r="W540" s="574"/>
      <c r="X540" s="572"/>
      <c r="Y540" s="572"/>
      <c r="Z540" s="572"/>
      <c r="AB540" s="573"/>
    </row>
    <row r="541" spans="1:28" s="575" customFormat="1">
      <c r="A541" s="616"/>
      <c r="B541" s="576" t="s">
        <v>800</v>
      </c>
      <c r="C541" s="591"/>
      <c r="D541" s="617"/>
      <c r="E541" s="618">
        <v>1.35</v>
      </c>
      <c r="F541" s="619">
        <v>0.3</v>
      </c>
      <c r="G541" s="619">
        <v>0.3</v>
      </c>
      <c r="H541" s="621">
        <f t="shared" si="25"/>
        <v>0.40500000000000003</v>
      </c>
      <c r="I541" s="622">
        <f t="shared" si="25"/>
        <v>0.1215</v>
      </c>
      <c r="J541" s="623"/>
      <c r="K541" s="586"/>
      <c r="L541" s="586"/>
      <c r="M541" s="571"/>
      <c r="N541" s="590" t="s">
        <v>611</v>
      </c>
      <c r="O541" s="590" t="s">
        <v>611</v>
      </c>
      <c r="P541" s="587" t="s">
        <v>611</v>
      </c>
      <c r="Q541" s="572"/>
      <c r="R541" s="573"/>
      <c r="S541" s="574"/>
      <c r="T541" s="574"/>
      <c r="U541" s="574"/>
      <c r="V541" s="574"/>
      <c r="W541" s="574"/>
      <c r="X541" s="572"/>
      <c r="Y541" s="572"/>
      <c r="Z541" s="572"/>
      <c r="AB541" s="573"/>
    </row>
    <row r="542" spans="1:28" s="575" customFormat="1" ht="31.5" customHeight="1">
      <c r="A542" s="616"/>
      <c r="B542" s="576" t="s">
        <v>801</v>
      </c>
      <c r="C542" s="591"/>
      <c r="D542" s="617"/>
      <c r="E542" s="618">
        <v>4.6500000000000004</v>
      </c>
      <c r="F542" s="619">
        <v>0.3</v>
      </c>
      <c r="G542" s="619">
        <v>0.3</v>
      </c>
      <c r="H542" s="621">
        <f t="shared" si="25"/>
        <v>1.395</v>
      </c>
      <c r="I542" s="622">
        <f t="shared" si="25"/>
        <v>0.41849999999999998</v>
      </c>
      <c r="J542" s="623"/>
      <c r="K542" s="586"/>
      <c r="L542" s="586"/>
      <c r="M542" s="571"/>
      <c r="N542" s="590" t="s">
        <v>611</v>
      </c>
      <c r="O542" s="590" t="s">
        <v>611</v>
      </c>
      <c r="P542" s="587" t="s">
        <v>611</v>
      </c>
      <c r="Q542" s="572"/>
      <c r="R542" s="573"/>
      <c r="S542" s="574"/>
      <c r="T542" s="574"/>
      <c r="U542" s="574"/>
      <c r="V542" s="574"/>
      <c r="W542" s="574"/>
      <c r="X542" s="572"/>
      <c r="Y542" s="572"/>
      <c r="Z542" s="572"/>
      <c r="AB542" s="573"/>
    </row>
    <row r="543" spans="1:28" s="575" customFormat="1">
      <c r="A543" s="616"/>
      <c r="B543" s="576" t="s">
        <v>802</v>
      </c>
      <c r="C543" s="591"/>
      <c r="D543" s="617"/>
      <c r="E543" s="618">
        <v>3.55</v>
      </c>
      <c r="F543" s="619">
        <v>0.3</v>
      </c>
      <c r="G543" s="619">
        <v>0.3</v>
      </c>
      <c r="H543" s="621">
        <f t="shared" si="25"/>
        <v>1.0649999999999999</v>
      </c>
      <c r="I543" s="622">
        <f t="shared" si="25"/>
        <v>0.31949999999999995</v>
      </c>
      <c r="J543" s="623"/>
      <c r="K543" s="586"/>
      <c r="L543" s="586"/>
      <c r="M543" s="571"/>
      <c r="N543" s="590" t="s">
        <v>611</v>
      </c>
      <c r="O543" s="590" t="s">
        <v>611</v>
      </c>
      <c r="P543" s="587" t="s">
        <v>611</v>
      </c>
      <c r="Q543" s="572"/>
      <c r="R543" s="573"/>
      <c r="S543" s="574"/>
      <c r="T543" s="574"/>
      <c r="U543" s="574"/>
      <c r="V543" s="574"/>
      <c r="W543" s="574"/>
      <c r="X543" s="572"/>
      <c r="Y543" s="572"/>
      <c r="Z543" s="572"/>
      <c r="AB543" s="573"/>
    </row>
    <row r="544" spans="1:28" s="575" customFormat="1">
      <c r="A544" s="616"/>
      <c r="B544" s="576" t="s">
        <v>803</v>
      </c>
      <c r="C544" s="591"/>
      <c r="D544" s="617"/>
      <c r="E544" s="618">
        <v>3.5</v>
      </c>
      <c r="F544" s="619">
        <v>0.3</v>
      </c>
      <c r="G544" s="619">
        <v>0.3</v>
      </c>
      <c r="H544" s="621">
        <f t="shared" si="25"/>
        <v>1.05</v>
      </c>
      <c r="I544" s="622">
        <f t="shared" si="25"/>
        <v>0.315</v>
      </c>
      <c r="J544" s="623"/>
      <c r="K544" s="586"/>
      <c r="L544" s="586"/>
      <c r="M544" s="571"/>
      <c r="N544" s="590" t="s">
        <v>611</v>
      </c>
      <c r="O544" s="590" t="s">
        <v>611</v>
      </c>
      <c r="P544" s="587" t="s">
        <v>611</v>
      </c>
      <c r="Q544" s="572"/>
      <c r="R544" s="573"/>
      <c r="S544" s="574"/>
      <c r="T544" s="574"/>
      <c r="U544" s="574"/>
      <c r="V544" s="574"/>
      <c r="W544" s="574"/>
      <c r="X544" s="572"/>
      <c r="Y544" s="572"/>
      <c r="Z544" s="572"/>
      <c r="AB544" s="573"/>
    </row>
    <row r="545" spans="1:28" s="575" customFormat="1" ht="52.5" customHeight="1">
      <c r="A545" s="616"/>
      <c r="B545" s="576" t="s">
        <v>804</v>
      </c>
      <c r="C545" s="591"/>
      <c r="D545" s="617"/>
      <c r="E545" s="618">
        <v>6</v>
      </c>
      <c r="F545" s="619">
        <v>0.3</v>
      </c>
      <c r="G545" s="619">
        <v>0.3</v>
      </c>
      <c r="H545" s="621">
        <f t="shared" si="25"/>
        <v>1.7999999999999998</v>
      </c>
      <c r="I545" s="622">
        <f t="shared" si="25"/>
        <v>0.53999999999999992</v>
      </c>
      <c r="J545" s="623"/>
      <c r="K545" s="586"/>
      <c r="L545" s="586"/>
      <c r="M545" s="571"/>
      <c r="N545" s="590" t="s">
        <v>611</v>
      </c>
      <c r="O545" s="590" t="s">
        <v>611</v>
      </c>
      <c r="P545" s="587" t="s">
        <v>611</v>
      </c>
      <c r="Q545" s="572"/>
      <c r="R545" s="573"/>
      <c r="S545" s="574"/>
      <c r="T545" s="574"/>
      <c r="U545" s="574"/>
      <c r="V545" s="574"/>
      <c r="W545" s="574"/>
      <c r="X545" s="572"/>
      <c r="Y545" s="572"/>
      <c r="Z545" s="572"/>
      <c r="AB545" s="573"/>
    </row>
    <row r="546" spans="1:28" s="575" customFormat="1">
      <c r="A546" s="616"/>
      <c r="B546" s="576" t="s">
        <v>805</v>
      </c>
      <c r="C546" s="591"/>
      <c r="D546" s="617"/>
      <c r="E546" s="618">
        <v>3.5</v>
      </c>
      <c r="F546" s="619">
        <v>0.3</v>
      </c>
      <c r="G546" s="619">
        <v>0.3</v>
      </c>
      <c r="H546" s="621">
        <f t="shared" ref="H546:I556" si="26">G546*E546</f>
        <v>1.05</v>
      </c>
      <c r="I546" s="622">
        <f t="shared" si="26"/>
        <v>0.315</v>
      </c>
      <c r="J546" s="623"/>
      <c r="K546" s="586"/>
      <c r="L546" s="586"/>
      <c r="M546" s="571"/>
      <c r="N546" s="590" t="s">
        <v>611</v>
      </c>
      <c r="O546" s="590" t="s">
        <v>611</v>
      </c>
      <c r="P546" s="587" t="s">
        <v>611</v>
      </c>
      <c r="Q546" s="572"/>
      <c r="R546" s="573"/>
      <c r="S546" s="574"/>
      <c r="T546" s="574"/>
      <c r="U546" s="574"/>
      <c r="V546" s="574"/>
      <c r="W546" s="574"/>
      <c r="X546" s="572"/>
      <c r="Y546" s="572"/>
      <c r="Z546" s="572"/>
      <c r="AB546" s="573"/>
    </row>
    <row r="547" spans="1:28" s="575" customFormat="1">
      <c r="A547" s="616"/>
      <c r="B547" s="576" t="s">
        <v>806</v>
      </c>
      <c r="C547" s="591"/>
      <c r="D547" s="617"/>
      <c r="E547" s="618">
        <v>1.35</v>
      </c>
      <c r="F547" s="619">
        <v>0.3</v>
      </c>
      <c r="G547" s="619">
        <v>0.3</v>
      </c>
      <c r="H547" s="621">
        <f t="shared" si="26"/>
        <v>0.40500000000000003</v>
      </c>
      <c r="I547" s="622">
        <f t="shared" si="26"/>
        <v>0.1215</v>
      </c>
      <c r="J547" s="623"/>
      <c r="K547" s="586"/>
      <c r="L547" s="586"/>
      <c r="M547" s="571"/>
      <c r="N547" s="590" t="s">
        <v>611</v>
      </c>
      <c r="O547" s="590" t="s">
        <v>611</v>
      </c>
      <c r="P547" s="587" t="s">
        <v>611</v>
      </c>
      <c r="Q547" s="572"/>
      <c r="R547" s="573"/>
      <c r="S547" s="574"/>
      <c r="T547" s="574"/>
      <c r="U547" s="574"/>
      <c r="V547" s="574"/>
      <c r="W547" s="574"/>
      <c r="X547" s="572"/>
      <c r="Y547" s="572"/>
      <c r="Z547" s="572"/>
      <c r="AB547" s="573"/>
    </row>
    <row r="548" spans="1:28" s="575" customFormat="1">
      <c r="A548" s="616"/>
      <c r="B548" s="576" t="s">
        <v>807</v>
      </c>
      <c r="C548" s="591"/>
      <c r="D548" s="617"/>
      <c r="E548" s="618">
        <v>1.35</v>
      </c>
      <c r="F548" s="619">
        <v>0.3</v>
      </c>
      <c r="G548" s="619">
        <v>0.3</v>
      </c>
      <c r="H548" s="621">
        <f t="shared" si="26"/>
        <v>0.40500000000000003</v>
      </c>
      <c r="I548" s="622">
        <f t="shared" si="26"/>
        <v>0.1215</v>
      </c>
      <c r="J548" s="623"/>
      <c r="K548" s="586"/>
      <c r="L548" s="586"/>
      <c r="M548" s="571"/>
      <c r="N548" s="590" t="s">
        <v>611</v>
      </c>
      <c r="O548" s="590" t="s">
        <v>611</v>
      </c>
      <c r="P548" s="587" t="s">
        <v>611</v>
      </c>
      <c r="Q548" s="572"/>
      <c r="R548" s="573"/>
      <c r="S548" s="574"/>
      <c r="T548" s="574"/>
      <c r="U548" s="574"/>
      <c r="V548" s="574"/>
      <c r="W548" s="574"/>
      <c r="X548" s="572"/>
      <c r="Y548" s="572"/>
      <c r="Z548" s="572"/>
      <c r="AB548" s="573"/>
    </row>
    <row r="549" spans="1:28" s="575" customFormat="1">
      <c r="A549" s="616"/>
      <c r="B549" s="576" t="s">
        <v>808</v>
      </c>
      <c r="C549" s="591"/>
      <c r="D549" s="617"/>
      <c r="E549" s="618">
        <v>1.9</v>
      </c>
      <c r="F549" s="619">
        <v>0.3</v>
      </c>
      <c r="G549" s="619">
        <v>0.3</v>
      </c>
      <c r="H549" s="621">
        <f t="shared" si="26"/>
        <v>0.56999999999999995</v>
      </c>
      <c r="I549" s="622">
        <f t="shared" si="26"/>
        <v>0.17099999999999999</v>
      </c>
      <c r="J549" s="623"/>
      <c r="K549" s="586"/>
      <c r="L549" s="586"/>
      <c r="M549" s="571"/>
      <c r="N549" s="590" t="s">
        <v>611</v>
      </c>
      <c r="O549" s="590" t="s">
        <v>611</v>
      </c>
      <c r="P549" s="587" t="s">
        <v>611</v>
      </c>
      <c r="Q549" s="572"/>
      <c r="R549" s="573"/>
      <c r="S549" s="574"/>
      <c r="T549" s="574"/>
      <c r="U549" s="574"/>
      <c r="V549" s="574"/>
      <c r="W549" s="574"/>
      <c r="X549" s="572"/>
      <c r="Y549" s="572"/>
      <c r="Z549" s="572"/>
      <c r="AB549" s="573"/>
    </row>
    <row r="550" spans="1:28" s="575" customFormat="1">
      <c r="A550" s="616"/>
      <c r="B550" s="576" t="s">
        <v>809</v>
      </c>
      <c r="C550" s="591"/>
      <c r="D550" s="617"/>
      <c r="E550" s="618">
        <f>0.5+0.35</f>
        <v>0.85</v>
      </c>
      <c r="F550" s="619">
        <v>0.3</v>
      </c>
      <c r="G550" s="619">
        <v>0.3</v>
      </c>
      <c r="H550" s="621">
        <f t="shared" si="26"/>
        <v>0.255</v>
      </c>
      <c r="I550" s="622">
        <f t="shared" si="26"/>
        <v>7.6499999999999999E-2</v>
      </c>
      <c r="J550" s="623"/>
      <c r="K550" s="586"/>
      <c r="L550" s="586"/>
      <c r="M550" s="571"/>
      <c r="N550" s="590"/>
      <c r="O550" s="590"/>
      <c r="P550" s="587"/>
      <c r="Q550" s="572"/>
      <c r="R550" s="573"/>
      <c r="S550" s="574"/>
      <c r="T550" s="574"/>
      <c r="U550" s="574"/>
      <c r="V550" s="574"/>
      <c r="W550" s="574"/>
      <c r="X550" s="572"/>
      <c r="Y550" s="572"/>
      <c r="Z550" s="572"/>
      <c r="AB550" s="573"/>
    </row>
    <row r="551" spans="1:28" s="575" customFormat="1">
      <c r="A551" s="616"/>
      <c r="B551" s="576" t="s">
        <v>810</v>
      </c>
      <c r="C551" s="591"/>
      <c r="D551" s="617"/>
      <c r="E551" s="618">
        <v>6.45</v>
      </c>
      <c r="F551" s="619">
        <v>0.3</v>
      </c>
      <c r="G551" s="619">
        <v>0.3</v>
      </c>
      <c r="H551" s="621">
        <f t="shared" si="26"/>
        <v>1.9350000000000001</v>
      </c>
      <c r="I551" s="622">
        <f t="shared" si="26"/>
        <v>0.58050000000000002</v>
      </c>
      <c r="J551" s="623"/>
      <c r="K551" s="586"/>
      <c r="L551" s="586"/>
      <c r="M551" s="571"/>
      <c r="N551" s="590" t="s">
        <v>611</v>
      </c>
      <c r="O551" s="590" t="s">
        <v>611</v>
      </c>
      <c r="P551" s="587" t="s">
        <v>611</v>
      </c>
      <c r="Q551" s="572"/>
      <c r="R551" s="573"/>
      <c r="S551" s="574"/>
      <c r="T551" s="574"/>
      <c r="U551" s="574"/>
      <c r="V551" s="574"/>
      <c r="W551" s="574"/>
      <c r="X551" s="572"/>
      <c r="Y551" s="572"/>
      <c r="Z551" s="572"/>
      <c r="AB551" s="573"/>
    </row>
    <row r="552" spans="1:28" s="575" customFormat="1">
      <c r="A552" s="616"/>
      <c r="B552" s="576" t="s">
        <v>811</v>
      </c>
      <c r="C552" s="591"/>
      <c r="D552" s="617"/>
      <c r="E552" s="618">
        <v>2.58</v>
      </c>
      <c r="F552" s="619">
        <v>0.3</v>
      </c>
      <c r="G552" s="619">
        <v>0.3</v>
      </c>
      <c r="H552" s="621">
        <f t="shared" si="26"/>
        <v>0.77400000000000002</v>
      </c>
      <c r="I552" s="622">
        <f t="shared" si="26"/>
        <v>0.23219999999999999</v>
      </c>
      <c r="J552" s="623"/>
      <c r="K552" s="586"/>
      <c r="L552" s="586"/>
      <c r="M552" s="571"/>
      <c r="N552" s="577" t="s">
        <v>611</v>
      </c>
      <c r="O552" s="577">
        <v>5</v>
      </c>
      <c r="P552" s="577" t="s">
        <v>611</v>
      </c>
      <c r="Q552" s="572"/>
      <c r="R552" s="573"/>
      <c r="S552" s="574"/>
      <c r="T552" s="574"/>
      <c r="U552" s="574"/>
      <c r="V552" s="574"/>
      <c r="W552" s="574"/>
      <c r="X552" s="572"/>
      <c r="Y552" s="572"/>
      <c r="Z552" s="572"/>
      <c r="AB552" s="573" t="s">
        <v>668</v>
      </c>
    </row>
    <row r="553" spans="1:28" s="575" customFormat="1">
      <c r="A553" s="616"/>
      <c r="B553" s="576" t="s">
        <v>812</v>
      </c>
      <c r="C553" s="591"/>
      <c r="D553" s="617"/>
      <c r="E553" s="618">
        <v>6</v>
      </c>
      <c r="F553" s="619">
        <v>0.3</v>
      </c>
      <c r="G553" s="619">
        <v>0.3</v>
      </c>
      <c r="H553" s="621">
        <f t="shared" si="26"/>
        <v>1.7999999999999998</v>
      </c>
      <c r="I553" s="622">
        <f t="shared" si="26"/>
        <v>0.53999999999999992</v>
      </c>
      <c r="J553" s="623"/>
      <c r="K553" s="586"/>
      <c r="L553" s="586"/>
      <c r="M553" s="571"/>
      <c r="N553" s="590" t="s">
        <v>611</v>
      </c>
      <c r="O553" s="590" t="s">
        <v>611</v>
      </c>
      <c r="P553" s="587" t="s">
        <v>611</v>
      </c>
      <c r="Q553" s="572"/>
      <c r="R553" s="573"/>
      <c r="S553" s="574"/>
      <c r="T553" s="574"/>
      <c r="U553" s="574"/>
      <c r="V553" s="574"/>
      <c r="W553" s="574"/>
      <c r="X553" s="572"/>
      <c r="Y553" s="572"/>
      <c r="Z553" s="572"/>
      <c r="AB553" s="573"/>
    </row>
    <row r="554" spans="1:28" s="575" customFormat="1">
      <c r="A554" s="616"/>
      <c r="B554" s="576" t="s">
        <v>813</v>
      </c>
      <c r="C554" s="591"/>
      <c r="D554" s="617"/>
      <c r="E554" s="618">
        <v>6</v>
      </c>
      <c r="F554" s="619">
        <v>0.3</v>
      </c>
      <c r="G554" s="619">
        <v>0.3</v>
      </c>
      <c r="H554" s="621">
        <f t="shared" si="26"/>
        <v>1.7999999999999998</v>
      </c>
      <c r="I554" s="622">
        <f t="shared" si="26"/>
        <v>0.53999999999999992</v>
      </c>
      <c r="J554" s="623"/>
      <c r="K554" s="586"/>
      <c r="L554" s="586"/>
      <c r="M554" s="571"/>
      <c r="N554" s="590" t="s">
        <v>611</v>
      </c>
      <c r="O554" s="590" t="s">
        <v>611</v>
      </c>
      <c r="P554" s="587" t="s">
        <v>611</v>
      </c>
      <c r="Q554" s="572"/>
      <c r="R554" s="573"/>
      <c r="S554" s="574"/>
      <c r="T554" s="574"/>
      <c r="U554" s="574"/>
      <c r="V554" s="574"/>
      <c r="W554" s="574"/>
      <c r="X554" s="572"/>
      <c r="Y554" s="572"/>
      <c r="Z554" s="572"/>
      <c r="AB554" s="573"/>
    </row>
    <row r="555" spans="1:28" s="575" customFormat="1">
      <c r="A555" s="616"/>
      <c r="B555" s="576" t="s">
        <v>814</v>
      </c>
      <c r="C555" s="591"/>
      <c r="D555" s="617"/>
      <c r="E555" s="618">
        <v>1.9</v>
      </c>
      <c r="F555" s="619">
        <v>0.3</v>
      </c>
      <c r="G555" s="619">
        <v>0.3</v>
      </c>
      <c r="H555" s="621">
        <f t="shared" si="26"/>
        <v>0.56999999999999995</v>
      </c>
      <c r="I555" s="622">
        <f t="shared" si="26"/>
        <v>0.17099999999999999</v>
      </c>
      <c r="J555" s="623"/>
      <c r="K555" s="586"/>
      <c r="L555" s="586"/>
      <c r="M555" s="571"/>
      <c r="N555" s="590" t="s">
        <v>611</v>
      </c>
      <c r="O555" s="590" t="s">
        <v>611</v>
      </c>
      <c r="P555" s="587" t="s">
        <v>611</v>
      </c>
      <c r="Q555" s="572"/>
      <c r="R555" s="573"/>
      <c r="S555" s="574"/>
      <c r="T555" s="574"/>
      <c r="U555" s="574"/>
      <c r="V555" s="574"/>
      <c r="W555" s="574"/>
      <c r="X555" s="572"/>
      <c r="Y555" s="572"/>
      <c r="Z555" s="572"/>
      <c r="AB555" s="573"/>
    </row>
    <row r="556" spans="1:28" s="575" customFormat="1">
      <c r="A556" s="616"/>
      <c r="B556" s="576" t="s">
        <v>815</v>
      </c>
      <c r="C556" s="591"/>
      <c r="D556" s="617"/>
      <c r="E556" s="618">
        <v>1.75</v>
      </c>
      <c r="F556" s="619">
        <v>0.3</v>
      </c>
      <c r="G556" s="619">
        <v>0.3</v>
      </c>
      <c r="H556" s="621">
        <f t="shared" si="26"/>
        <v>0.52500000000000002</v>
      </c>
      <c r="I556" s="622">
        <f t="shared" si="26"/>
        <v>0.1575</v>
      </c>
      <c r="J556" s="623"/>
      <c r="K556" s="586"/>
      <c r="L556" s="586"/>
      <c r="M556" s="571"/>
      <c r="N556" s="577" t="s">
        <v>611</v>
      </c>
      <c r="O556" s="577">
        <v>3</v>
      </c>
      <c r="P556" s="577" t="s">
        <v>611</v>
      </c>
      <c r="Q556" s="572"/>
      <c r="R556" s="573"/>
      <c r="S556" s="574"/>
      <c r="T556" s="574"/>
      <c r="U556" s="574"/>
      <c r="V556" s="574"/>
      <c r="W556" s="574"/>
      <c r="X556" s="572"/>
      <c r="Y556" s="572"/>
      <c r="Z556" s="572"/>
      <c r="AB556" s="573" t="s">
        <v>668</v>
      </c>
    </row>
    <row r="557" spans="1:28" s="575" customFormat="1">
      <c r="A557" s="616"/>
      <c r="B557" s="591" t="s">
        <v>674</v>
      </c>
      <c r="C557" s="591"/>
      <c r="D557" s="617"/>
      <c r="E557" s="618"/>
      <c r="F557" s="619"/>
      <c r="G557" s="620"/>
      <c r="H557" s="622"/>
      <c r="I557" s="622"/>
      <c r="J557" s="623"/>
      <c r="K557" s="586"/>
      <c r="L557" s="586"/>
      <c r="M557" s="571"/>
      <c r="N557" s="577" t="s">
        <v>611</v>
      </c>
      <c r="O557" s="577" t="s">
        <v>611</v>
      </c>
      <c r="P557" s="577" t="s">
        <v>611</v>
      </c>
      <c r="Q557" s="572"/>
      <c r="R557" s="573"/>
      <c r="S557" s="574"/>
      <c r="T557" s="574"/>
      <c r="U557" s="574"/>
      <c r="V557" s="574"/>
      <c r="W557" s="574"/>
      <c r="X557" s="572"/>
      <c r="Y557" s="572"/>
      <c r="Z557" s="572"/>
      <c r="AB557" s="573" t="s">
        <v>668</v>
      </c>
    </row>
    <row r="558" spans="1:28" s="575" customFormat="1">
      <c r="A558" s="616"/>
      <c r="B558" s="591" t="s">
        <v>817</v>
      </c>
      <c r="C558" s="591"/>
      <c r="D558" s="617"/>
      <c r="E558" s="618"/>
      <c r="F558" s="619"/>
      <c r="G558" s="620"/>
      <c r="H558" s="622"/>
      <c r="I558" s="622"/>
      <c r="J558" s="623"/>
      <c r="K558" s="586"/>
      <c r="L558" s="586"/>
      <c r="M558" s="571"/>
      <c r="N558" s="577" t="s">
        <v>611</v>
      </c>
      <c r="O558" s="577" t="s">
        <v>611</v>
      </c>
      <c r="P558" s="577" t="s">
        <v>611</v>
      </c>
      <c r="Q558" s="572"/>
      <c r="R558" s="573"/>
      <c r="S558" s="574"/>
      <c r="T558" s="574"/>
      <c r="U558" s="574"/>
      <c r="V558" s="574"/>
      <c r="W558" s="574"/>
      <c r="X558" s="572"/>
      <c r="Y558" s="572"/>
      <c r="Z558" s="572"/>
      <c r="AB558" s="573" t="s">
        <v>668</v>
      </c>
    </row>
    <row r="559" spans="1:28" s="575" customFormat="1">
      <c r="A559" s="616"/>
      <c r="B559" s="576" t="s">
        <v>818</v>
      </c>
      <c r="C559" s="591"/>
      <c r="D559" s="617"/>
      <c r="E559" s="618">
        <f>9</f>
        <v>9</v>
      </c>
      <c r="F559" s="619">
        <v>0.3</v>
      </c>
      <c r="G559" s="619">
        <v>0.3</v>
      </c>
      <c r="H559" s="621">
        <f t="shared" ref="H559:I568" si="27">G559*E559</f>
        <v>2.6999999999999997</v>
      </c>
      <c r="I559" s="622">
        <f t="shared" si="27"/>
        <v>0.80999999999999994</v>
      </c>
      <c r="J559" s="623"/>
      <c r="K559" s="586"/>
      <c r="L559" s="586"/>
      <c r="M559" s="571"/>
      <c r="N559" s="577" t="s">
        <v>611</v>
      </c>
      <c r="O559" s="577">
        <v>3</v>
      </c>
      <c r="P559" s="577" t="s">
        <v>611</v>
      </c>
      <c r="Q559" s="572"/>
      <c r="R559" s="573"/>
      <c r="S559" s="574"/>
      <c r="T559" s="574"/>
      <c r="U559" s="574"/>
      <c r="V559" s="574"/>
      <c r="W559" s="574"/>
      <c r="X559" s="572"/>
      <c r="Y559" s="572"/>
      <c r="Z559" s="572"/>
      <c r="AB559" s="573" t="s">
        <v>668</v>
      </c>
    </row>
    <row r="560" spans="1:28" s="575" customFormat="1">
      <c r="A560" s="616"/>
      <c r="B560" s="576" t="s">
        <v>819</v>
      </c>
      <c r="C560" s="591"/>
      <c r="D560" s="617"/>
      <c r="E560" s="618">
        <v>4.25</v>
      </c>
      <c r="F560" s="619">
        <v>0.3</v>
      </c>
      <c r="G560" s="619">
        <v>0.3</v>
      </c>
      <c r="H560" s="621">
        <f t="shared" si="27"/>
        <v>1.2749999999999999</v>
      </c>
      <c r="I560" s="622">
        <f t="shared" si="27"/>
        <v>0.38249999999999995</v>
      </c>
      <c r="J560" s="623"/>
      <c r="K560" s="586"/>
      <c r="L560" s="586"/>
      <c r="M560" s="571"/>
      <c r="N560" s="577" t="s">
        <v>611</v>
      </c>
      <c r="O560" s="577">
        <v>3</v>
      </c>
      <c r="P560" s="577" t="s">
        <v>611</v>
      </c>
      <c r="Q560" s="572"/>
      <c r="R560" s="573"/>
      <c r="S560" s="574"/>
      <c r="T560" s="574"/>
      <c r="U560" s="574"/>
      <c r="V560" s="574"/>
      <c r="W560" s="574"/>
      <c r="X560" s="572"/>
      <c r="Y560" s="572"/>
      <c r="Z560" s="572"/>
      <c r="AB560" s="573" t="s">
        <v>668</v>
      </c>
    </row>
    <row r="561" spans="1:28" s="575" customFormat="1">
      <c r="A561" s="616"/>
      <c r="B561" s="576" t="s">
        <v>820</v>
      </c>
      <c r="C561" s="591"/>
      <c r="D561" s="617"/>
      <c r="E561" s="618">
        <f>6.3+0.05</f>
        <v>6.35</v>
      </c>
      <c r="F561" s="619">
        <v>0.3</v>
      </c>
      <c r="G561" s="619">
        <v>0.3</v>
      </c>
      <c r="H561" s="621">
        <f t="shared" si="27"/>
        <v>1.9049999999999998</v>
      </c>
      <c r="I561" s="622">
        <f t="shared" si="27"/>
        <v>0.5714999999999999</v>
      </c>
      <c r="J561" s="623"/>
      <c r="K561" s="586"/>
      <c r="L561" s="586"/>
      <c r="M561" s="571"/>
      <c r="N561" s="577" t="s">
        <v>611</v>
      </c>
      <c r="O561" s="577">
        <v>3</v>
      </c>
      <c r="P561" s="577" t="s">
        <v>611</v>
      </c>
      <c r="Q561" s="572"/>
      <c r="R561" s="573"/>
      <c r="S561" s="574"/>
      <c r="T561" s="574"/>
      <c r="U561" s="574"/>
      <c r="V561" s="574"/>
      <c r="W561" s="574"/>
      <c r="X561" s="572"/>
      <c r="Y561" s="572"/>
      <c r="Z561" s="572"/>
      <c r="AB561" s="573" t="s">
        <v>668</v>
      </c>
    </row>
    <row r="562" spans="1:28" s="575" customFormat="1">
      <c r="A562" s="616"/>
      <c r="B562" s="576" t="s">
        <v>821</v>
      </c>
      <c r="C562" s="591"/>
      <c r="D562" s="617"/>
      <c r="E562" s="618">
        <f>2.1-0.4</f>
        <v>1.7000000000000002</v>
      </c>
      <c r="F562" s="619">
        <v>0.3</v>
      </c>
      <c r="G562" s="619">
        <v>0.3</v>
      </c>
      <c r="H562" s="621">
        <f t="shared" si="27"/>
        <v>0.51</v>
      </c>
      <c r="I562" s="622">
        <f t="shared" si="27"/>
        <v>0.153</v>
      </c>
      <c r="J562" s="623"/>
      <c r="K562" s="586"/>
      <c r="L562" s="586"/>
      <c r="M562" s="571"/>
      <c r="N562" s="577" t="s">
        <v>611</v>
      </c>
      <c r="O562" s="577">
        <v>3</v>
      </c>
      <c r="P562" s="577" t="s">
        <v>611</v>
      </c>
      <c r="Q562" s="572"/>
      <c r="R562" s="573"/>
      <c r="S562" s="574"/>
      <c r="T562" s="574"/>
      <c r="U562" s="574"/>
      <c r="V562" s="574"/>
      <c r="W562" s="574"/>
      <c r="X562" s="572"/>
      <c r="Y562" s="572"/>
      <c r="Z562" s="572"/>
      <c r="AB562" s="573" t="s">
        <v>668</v>
      </c>
    </row>
    <row r="563" spans="1:28" s="575" customFormat="1">
      <c r="A563" s="616"/>
      <c r="B563" s="576" t="s">
        <v>822</v>
      </c>
      <c r="C563" s="591"/>
      <c r="D563" s="617"/>
      <c r="E563" s="618">
        <v>52.7</v>
      </c>
      <c r="F563" s="619">
        <v>0.3</v>
      </c>
      <c r="G563" s="619">
        <v>0.3</v>
      </c>
      <c r="H563" s="621">
        <f t="shared" si="27"/>
        <v>15.81</v>
      </c>
      <c r="I563" s="622">
        <f t="shared" si="27"/>
        <v>4.7430000000000003</v>
      </c>
      <c r="J563" s="623"/>
      <c r="K563" s="586"/>
      <c r="L563" s="586"/>
      <c r="M563" s="571"/>
      <c r="N563" s="577" t="s">
        <v>611</v>
      </c>
      <c r="O563" s="577">
        <v>3</v>
      </c>
      <c r="P563" s="577" t="s">
        <v>611</v>
      </c>
      <c r="Q563" s="572"/>
      <c r="R563" s="573"/>
      <c r="S563" s="574"/>
      <c r="T563" s="574"/>
      <c r="U563" s="574"/>
      <c r="V563" s="574"/>
      <c r="W563" s="574"/>
      <c r="X563" s="572"/>
      <c r="Y563" s="572"/>
      <c r="Z563" s="572"/>
      <c r="AB563" s="573" t="s">
        <v>668</v>
      </c>
    </row>
    <row r="564" spans="1:28" s="575" customFormat="1">
      <c r="A564" s="616"/>
      <c r="B564" s="576" t="s">
        <v>823</v>
      </c>
      <c r="C564" s="591"/>
      <c r="D564" s="617"/>
      <c r="E564" s="618">
        <v>1.4</v>
      </c>
      <c r="F564" s="619">
        <v>0.3</v>
      </c>
      <c r="G564" s="619">
        <v>0.3</v>
      </c>
      <c r="H564" s="621">
        <f t="shared" si="27"/>
        <v>0.42</v>
      </c>
      <c r="I564" s="622">
        <f t="shared" si="27"/>
        <v>0.126</v>
      </c>
      <c r="J564" s="623"/>
      <c r="K564" s="586"/>
      <c r="L564" s="586"/>
      <c r="M564" s="571"/>
      <c r="N564" s="577" t="s">
        <v>611</v>
      </c>
      <c r="O564" s="577">
        <v>3</v>
      </c>
      <c r="P564" s="577" t="s">
        <v>611</v>
      </c>
      <c r="Q564" s="572"/>
      <c r="R564" s="573"/>
      <c r="S564" s="574"/>
      <c r="T564" s="574"/>
      <c r="U564" s="574"/>
      <c r="V564" s="574"/>
      <c r="W564" s="574"/>
      <c r="X564" s="572"/>
      <c r="Y564" s="572"/>
      <c r="Z564" s="572"/>
      <c r="AB564" s="573" t="s">
        <v>668</v>
      </c>
    </row>
    <row r="565" spans="1:28" s="575" customFormat="1">
      <c r="A565" s="616"/>
      <c r="B565" s="576" t="s">
        <v>824</v>
      </c>
      <c r="C565" s="591"/>
      <c r="D565" s="617"/>
      <c r="E565" s="618">
        <v>54.69</v>
      </c>
      <c r="F565" s="619">
        <v>0.3</v>
      </c>
      <c r="G565" s="619">
        <v>0.3</v>
      </c>
      <c r="H565" s="621">
        <f t="shared" si="27"/>
        <v>16.407</v>
      </c>
      <c r="I565" s="622">
        <f t="shared" si="27"/>
        <v>4.9220999999999995</v>
      </c>
      <c r="J565" s="623"/>
      <c r="K565" s="586"/>
      <c r="L565" s="586"/>
      <c r="M565" s="571"/>
      <c r="N565" s="577" t="s">
        <v>611</v>
      </c>
      <c r="O565" s="577">
        <v>3</v>
      </c>
      <c r="P565" s="577" t="s">
        <v>611</v>
      </c>
      <c r="Q565" s="572"/>
      <c r="R565" s="573"/>
      <c r="S565" s="574"/>
      <c r="T565" s="574"/>
      <c r="U565" s="574"/>
      <c r="V565" s="574"/>
      <c r="W565" s="574"/>
      <c r="X565" s="572"/>
      <c r="Y565" s="572"/>
      <c r="Z565" s="572"/>
      <c r="AB565" s="573" t="s">
        <v>668</v>
      </c>
    </row>
    <row r="566" spans="1:28" s="575" customFormat="1">
      <c r="A566" s="616"/>
      <c r="B566" s="576" t="s">
        <v>825</v>
      </c>
      <c r="C566" s="591"/>
      <c r="D566" s="617"/>
      <c r="E566" s="618">
        <v>14.1</v>
      </c>
      <c r="F566" s="619">
        <v>0.3</v>
      </c>
      <c r="G566" s="619">
        <v>0.3</v>
      </c>
      <c r="H566" s="621">
        <f t="shared" si="27"/>
        <v>4.2299999999999995</v>
      </c>
      <c r="I566" s="622">
        <f t="shared" si="27"/>
        <v>1.2689999999999999</v>
      </c>
      <c r="J566" s="623"/>
      <c r="K566" s="586"/>
      <c r="L566" s="586"/>
      <c r="M566" s="571"/>
      <c r="N566" s="577" t="s">
        <v>611</v>
      </c>
      <c r="O566" s="577">
        <v>3</v>
      </c>
      <c r="P566" s="577" t="s">
        <v>611</v>
      </c>
      <c r="Q566" s="572"/>
      <c r="R566" s="573"/>
      <c r="S566" s="574"/>
      <c r="T566" s="574"/>
      <c r="U566" s="574"/>
      <c r="V566" s="574"/>
      <c r="W566" s="574"/>
      <c r="X566" s="572"/>
      <c r="Y566" s="572"/>
      <c r="Z566" s="572"/>
      <c r="AB566" s="573" t="s">
        <v>668</v>
      </c>
    </row>
    <row r="567" spans="1:28" s="575" customFormat="1">
      <c r="A567" s="616"/>
      <c r="B567" s="576" t="s">
        <v>826</v>
      </c>
      <c r="C567" s="591"/>
      <c r="D567" s="617"/>
      <c r="E567" s="618">
        <v>25.4</v>
      </c>
      <c r="F567" s="619">
        <v>0.3</v>
      </c>
      <c r="G567" s="619">
        <v>0.3</v>
      </c>
      <c r="H567" s="621">
        <f t="shared" si="27"/>
        <v>7.6199999999999992</v>
      </c>
      <c r="I567" s="622">
        <f t="shared" si="27"/>
        <v>2.2859999999999996</v>
      </c>
      <c r="J567" s="623"/>
      <c r="K567" s="586"/>
      <c r="L567" s="586"/>
      <c r="M567" s="571"/>
      <c r="N567" s="577" t="s">
        <v>611</v>
      </c>
      <c r="O567" s="577">
        <v>3</v>
      </c>
      <c r="P567" s="577" t="s">
        <v>611</v>
      </c>
      <c r="Q567" s="572"/>
      <c r="R567" s="573"/>
      <c r="S567" s="574"/>
      <c r="T567" s="574"/>
      <c r="U567" s="574"/>
      <c r="V567" s="574"/>
      <c r="W567" s="574"/>
      <c r="X567" s="572"/>
      <c r="Y567" s="572"/>
      <c r="Z567" s="572"/>
      <c r="AB567" s="573" t="s">
        <v>668</v>
      </c>
    </row>
    <row r="568" spans="1:28" s="575" customFormat="1">
      <c r="A568" s="616"/>
      <c r="B568" s="576" t="s">
        <v>827</v>
      </c>
      <c r="C568" s="591"/>
      <c r="D568" s="617"/>
      <c r="E568" s="618">
        <v>27.7</v>
      </c>
      <c r="F568" s="619">
        <v>0.3</v>
      </c>
      <c r="G568" s="619">
        <v>0.3</v>
      </c>
      <c r="H568" s="621">
        <f t="shared" si="27"/>
        <v>8.3099999999999987</v>
      </c>
      <c r="I568" s="622">
        <f t="shared" si="27"/>
        <v>2.4929999999999994</v>
      </c>
      <c r="J568" s="623"/>
      <c r="K568" s="586"/>
      <c r="L568" s="586"/>
      <c r="M568" s="571"/>
      <c r="N568" s="577" t="s">
        <v>611</v>
      </c>
      <c r="O568" s="577">
        <v>3</v>
      </c>
      <c r="P568" s="577" t="s">
        <v>611</v>
      </c>
      <c r="Q568" s="572"/>
      <c r="R568" s="573"/>
      <c r="S568" s="574"/>
      <c r="T568" s="574"/>
      <c r="U568" s="574"/>
      <c r="V568" s="574"/>
      <c r="W568" s="574"/>
      <c r="X568" s="572"/>
      <c r="Y568" s="572"/>
      <c r="Z568" s="572"/>
      <c r="AB568" s="573" t="s">
        <v>668</v>
      </c>
    </row>
    <row r="569" spans="1:28" s="575" customFormat="1">
      <c r="A569" s="616"/>
      <c r="B569" s="591" t="s">
        <v>828</v>
      </c>
      <c r="C569" s="591"/>
      <c r="D569" s="617"/>
      <c r="E569" s="618"/>
      <c r="F569" s="619"/>
      <c r="G569" s="620"/>
      <c r="H569" s="621"/>
      <c r="I569" s="622"/>
      <c r="J569" s="623"/>
      <c r="K569" s="586"/>
      <c r="L569" s="586"/>
      <c r="M569" s="571"/>
      <c r="N569" s="577" t="s">
        <v>611</v>
      </c>
      <c r="O569" s="577" t="s">
        <v>611</v>
      </c>
      <c r="P569" s="577" t="s">
        <v>611</v>
      </c>
      <c r="Q569" s="572"/>
      <c r="R569" s="573"/>
      <c r="S569" s="574"/>
      <c r="T569" s="574"/>
      <c r="U569" s="574"/>
      <c r="V569" s="574"/>
      <c r="W569" s="574"/>
      <c r="X569" s="572"/>
      <c r="Y569" s="572"/>
      <c r="Z569" s="572"/>
      <c r="AB569" s="573" t="s">
        <v>668</v>
      </c>
    </row>
    <row r="570" spans="1:28" s="575" customFormat="1">
      <c r="A570" s="616"/>
      <c r="B570" s="576" t="s">
        <v>673</v>
      </c>
      <c r="C570" s="591"/>
      <c r="D570" s="617"/>
      <c r="E570" s="618">
        <v>40.69</v>
      </c>
      <c r="F570" s="619">
        <v>0.3</v>
      </c>
      <c r="G570" s="619">
        <v>0.3</v>
      </c>
      <c r="H570" s="621">
        <f t="shared" ref="H570:I574" si="28">G570*E570</f>
        <v>12.206999999999999</v>
      </c>
      <c r="I570" s="622">
        <f t="shared" si="28"/>
        <v>3.6620999999999997</v>
      </c>
      <c r="J570" s="623"/>
      <c r="K570" s="586"/>
      <c r="L570" s="586"/>
      <c r="M570" s="571"/>
      <c r="N570" s="577" t="s">
        <v>611</v>
      </c>
      <c r="O570" s="577">
        <v>3</v>
      </c>
      <c r="P570" s="577" t="s">
        <v>611</v>
      </c>
      <c r="Q570" s="572"/>
      <c r="R570" s="573"/>
      <c r="S570" s="574"/>
      <c r="T570" s="574"/>
      <c r="U570" s="574"/>
      <c r="V570" s="574"/>
      <c r="W570" s="574"/>
      <c r="X570" s="572"/>
      <c r="Y570" s="572"/>
      <c r="Z570" s="572"/>
      <c r="AB570" s="573" t="s">
        <v>668</v>
      </c>
    </row>
    <row r="571" spans="1:28" s="575" customFormat="1">
      <c r="A571" s="616"/>
      <c r="B571" s="576" t="s">
        <v>829</v>
      </c>
      <c r="C571" s="591"/>
      <c r="D571" s="617"/>
      <c r="E571" s="618">
        <v>99.78</v>
      </c>
      <c r="F571" s="619">
        <v>0.3</v>
      </c>
      <c r="G571" s="619">
        <v>0.3</v>
      </c>
      <c r="H571" s="621">
        <f t="shared" si="28"/>
        <v>29.933999999999997</v>
      </c>
      <c r="I571" s="622">
        <f t="shared" si="28"/>
        <v>8.9801999999999982</v>
      </c>
      <c r="J571" s="623"/>
      <c r="K571" s="586"/>
      <c r="L571" s="586"/>
      <c r="M571" s="571"/>
      <c r="N571" s="577" t="s">
        <v>611</v>
      </c>
      <c r="O571" s="577">
        <v>3</v>
      </c>
      <c r="P571" s="577" t="s">
        <v>611</v>
      </c>
      <c r="Q571" s="572"/>
      <c r="R571" s="573"/>
      <c r="S571" s="574"/>
      <c r="T571" s="574"/>
      <c r="U571" s="574"/>
      <c r="V571" s="574"/>
      <c r="W571" s="574"/>
      <c r="X571" s="572"/>
      <c r="Y571" s="572"/>
      <c r="Z571" s="572"/>
      <c r="AB571" s="573" t="s">
        <v>668</v>
      </c>
    </row>
    <row r="572" spans="1:28" s="575" customFormat="1">
      <c r="A572" s="616"/>
      <c r="B572" s="576" t="s">
        <v>830</v>
      </c>
      <c r="C572" s="591"/>
      <c r="D572" s="617"/>
      <c r="E572" s="618">
        <v>60</v>
      </c>
      <c r="F572" s="619">
        <v>0.3</v>
      </c>
      <c r="G572" s="619">
        <v>0.3</v>
      </c>
      <c r="H572" s="621">
        <f t="shared" si="28"/>
        <v>18</v>
      </c>
      <c r="I572" s="622">
        <f t="shared" si="28"/>
        <v>5.3999999999999995</v>
      </c>
      <c r="J572" s="623"/>
      <c r="K572" s="586"/>
      <c r="L572" s="586"/>
      <c r="M572" s="571"/>
      <c r="N572" s="577" t="s">
        <v>611</v>
      </c>
      <c r="O572" s="577">
        <v>3</v>
      </c>
      <c r="P572" s="577" t="s">
        <v>611</v>
      </c>
      <c r="Q572" s="572"/>
      <c r="R572" s="573"/>
      <c r="S572" s="574"/>
      <c r="T572" s="574"/>
      <c r="U572" s="574"/>
      <c r="V572" s="574"/>
      <c r="W572" s="574"/>
      <c r="X572" s="572"/>
      <c r="Y572" s="572"/>
      <c r="Z572" s="572"/>
      <c r="AB572" s="573" t="s">
        <v>668</v>
      </c>
    </row>
    <row r="573" spans="1:28" s="575" customFormat="1">
      <c r="A573" s="616"/>
      <c r="B573" s="576" t="s">
        <v>831</v>
      </c>
      <c r="C573" s="591"/>
      <c r="D573" s="617"/>
      <c r="E573" s="618">
        <v>88.13</v>
      </c>
      <c r="F573" s="619">
        <v>0.3</v>
      </c>
      <c r="G573" s="619">
        <v>0.3</v>
      </c>
      <c r="H573" s="621">
        <f t="shared" si="28"/>
        <v>26.438999999999997</v>
      </c>
      <c r="I573" s="622">
        <f t="shared" si="28"/>
        <v>7.9316999999999984</v>
      </c>
      <c r="J573" s="623"/>
      <c r="K573" s="586"/>
      <c r="L573" s="586"/>
      <c r="M573" s="571"/>
      <c r="N573" s="577" t="s">
        <v>611</v>
      </c>
      <c r="O573" s="577">
        <v>3</v>
      </c>
      <c r="P573" s="577" t="s">
        <v>611</v>
      </c>
      <c r="Q573" s="572"/>
      <c r="R573" s="573"/>
      <c r="S573" s="574"/>
      <c r="T573" s="574"/>
      <c r="U573" s="574"/>
      <c r="V573" s="574"/>
      <c r="W573" s="574"/>
      <c r="X573" s="572"/>
      <c r="Y573" s="572"/>
      <c r="Z573" s="572"/>
      <c r="AB573" s="573" t="s">
        <v>668</v>
      </c>
    </row>
    <row r="574" spans="1:28" s="575" customFormat="1">
      <c r="A574" s="616"/>
      <c r="B574" s="576" t="s">
        <v>832</v>
      </c>
      <c r="C574" s="591"/>
      <c r="D574" s="617"/>
      <c r="E574" s="618">
        <v>8.65</v>
      </c>
      <c r="F574" s="619">
        <v>0.3</v>
      </c>
      <c r="G574" s="619">
        <v>0.3</v>
      </c>
      <c r="H574" s="621">
        <f t="shared" si="28"/>
        <v>2.5950000000000002</v>
      </c>
      <c r="I574" s="622">
        <f t="shared" si="28"/>
        <v>0.77850000000000008</v>
      </c>
      <c r="J574" s="623"/>
      <c r="K574" s="586"/>
      <c r="L574" s="586"/>
      <c r="M574" s="571"/>
      <c r="N574" s="577" t="s">
        <v>611</v>
      </c>
      <c r="O574" s="577">
        <v>3</v>
      </c>
      <c r="P574" s="577" t="s">
        <v>611</v>
      </c>
      <c r="Q574" s="572"/>
      <c r="R574" s="573"/>
      <c r="S574" s="574"/>
      <c r="T574" s="574"/>
      <c r="U574" s="574"/>
      <c r="V574" s="574"/>
      <c r="W574" s="574"/>
      <c r="X574" s="572"/>
      <c r="Y574" s="572"/>
      <c r="Z574" s="572"/>
      <c r="AB574" s="573" t="s">
        <v>668</v>
      </c>
    </row>
    <row r="575" spans="1:28" s="478" customFormat="1">
      <c r="A575" s="463"/>
      <c r="B575" s="464" t="s">
        <v>999</v>
      </c>
      <c r="C575" s="465" t="s">
        <v>195</v>
      </c>
      <c r="D575" s="466"/>
      <c r="E575" s="467"/>
      <c r="F575" s="468"/>
      <c r="G575" s="469"/>
      <c r="H575" s="470"/>
      <c r="I575" s="471"/>
      <c r="J575" s="472"/>
      <c r="K575" s="473"/>
      <c r="L575" s="473"/>
      <c r="M575" s="474"/>
      <c r="N575" s="462" t="s">
        <v>55</v>
      </c>
      <c r="O575" s="462" t="s">
        <v>202</v>
      </c>
      <c r="P575" s="481" t="s">
        <v>181</v>
      </c>
      <c r="Q575" s="475"/>
      <c r="R575" s="476"/>
      <c r="S575" s="477"/>
      <c r="T575" s="477"/>
      <c r="U575" s="477"/>
      <c r="V575" s="477"/>
      <c r="W575" s="477"/>
      <c r="X575" s="475"/>
      <c r="Y575" s="475"/>
      <c r="Z575" s="475"/>
      <c r="AB575" s="476"/>
    </row>
    <row r="576" spans="1:28" s="575" customFormat="1">
      <c r="A576" s="616"/>
      <c r="B576" s="570" t="s">
        <v>669</v>
      </c>
      <c r="C576" s="591"/>
      <c r="D576" s="617"/>
      <c r="E576" s="618"/>
      <c r="F576" s="619"/>
      <c r="G576" s="620"/>
      <c r="H576" s="621"/>
      <c r="I576" s="622"/>
      <c r="J576" s="623"/>
      <c r="K576" s="586"/>
      <c r="L576" s="586"/>
      <c r="M576" s="571"/>
      <c r="N576" s="577" t="s">
        <v>611</v>
      </c>
      <c r="O576" s="577" t="s">
        <v>611</v>
      </c>
      <c r="P576" s="577" t="s">
        <v>611</v>
      </c>
      <c r="Q576" s="572"/>
      <c r="R576" s="573"/>
      <c r="S576" s="574"/>
      <c r="T576" s="574"/>
      <c r="U576" s="574"/>
      <c r="V576" s="574"/>
      <c r="W576" s="574"/>
      <c r="X576" s="572"/>
      <c r="Y576" s="572"/>
      <c r="Z576" s="572"/>
      <c r="AB576" s="573" t="s">
        <v>668</v>
      </c>
    </row>
    <row r="577" spans="1:28" s="575" customFormat="1">
      <c r="A577" s="616"/>
      <c r="B577" s="591" t="s">
        <v>666</v>
      </c>
      <c r="C577" s="591"/>
      <c r="D577" s="617"/>
      <c r="E577" s="618"/>
      <c r="F577" s="619"/>
      <c r="G577" s="620"/>
      <c r="H577" s="622"/>
      <c r="I577" s="622"/>
      <c r="J577" s="623"/>
      <c r="K577" s="586"/>
      <c r="L577" s="586"/>
      <c r="M577" s="571"/>
      <c r="N577" s="577" t="s">
        <v>611</v>
      </c>
      <c r="O577" s="577" t="s">
        <v>611</v>
      </c>
      <c r="P577" s="577" t="s">
        <v>611</v>
      </c>
      <c r="Q577" s="572"/>
      <c r="R577" s="573"/>
      <c r="S577" s="574"/>
      <c r="T577" s="574"/>
      <c r="U577" s="574"/>
      <c r="V577" s="574"/>
      <c r="W577" s="574"/>
      <c r="X577" s="572"/>
      <c r="Y577" s="572"/>
      <c r="Z577" s="572"/>
      <c r="AB577" s="573" t="s">
        <v>668</v>
      </c>
    </row>
    <row r="578" spans="1:28" s="575" customFormat="1">
      <c r="A578" s="616"/>
      <c r="B578" s="576" t="s">
        <v>772</v>
      </c>
      <c r="C578" s="591"/>
      <c r="D578" s="617"/>
      <c r="E578" s="618">
        <v>3.5</v>
      </c>
      <c r="F578" s="619"/>
      <c r="G578" s="620"/>
      <c r="H578" s="621"/>
      <c r="I578" s="622"/>
      <c r="J578" s="623"/>
      <c r="K578" s="586"/>
      <c r="L578" s="586"/>
      <c r="M578" s="571"/>
      <c r="N578" s="590" t="s">
        <v>611</v>
      </c>
      <c r="O578" s="590" t="s">
        <v>611</v>
      </c>
      <c r="P578" s="587" t="s">
        <v>611</v>
      </c>
      <c r="Q578" s="572"/>
      <c r="R578" s="573"/>
      <c r="S578" s="574"/>
      <c r="T578" s="574"/>
      <c r="U578" s="574"/>
      <c r="V578" s="574"/>
      <c r="W578" s="574"/>
      <c r="X578" s="572"/>
      <c r="Y578" s="572"/>
      <c r="Z578" s="572"/>
      <c r="AB578" s="573"/>
    </row>
    <row r="579" spans="1:28" s="575" customFormat="1">
      <c r="A579" s="616"/>
      <c r="B579" s="576" t="s">
        <v>773</v>
      </c>
      <c r="C579" s="591"/>
      <c r="D579" s="617"/>
      <c r="E579" s="618">
        <v>64.05</v>
      </c>
      <c r="F579" s="619"/>
      <c r="G579" s="620"/>
      <c r="H579" s="621"/>
      <c r="I579" s="622"/>
      <c r="J579" s="623"/>
      <c r="K579" s="586"/>
      <c r="L579" s="586"/>
      <c r="M579" s="571"/>
      <c r="N579" s="590" t="s">
        <v>611</v>
      </c>
      <c r="O579" s="590" t="s">
        <v>611</v>
      </c>
      <c r="P579" s="587" t="s">
        <v>611</v>
      </c>
      <c r="Q579" s="572"/>
      <c r="R579" s="573"/>
      <c r="S579" s="574"/>
      <c r="T579" s="574"/>
      <c r="U579" s="574"/>
      <c r="V579" s="574"/>
      <c r="W579" s="574"/>
      <c r="X579" s="572"/>
      <c r="Y579" s="572"/>
      <c r="Z579" s="572"/>
      <c r="AB579" s="573"/>
    </row>
    <row r="580" spans="1:28" s="575" customFormat="1">
      <c r="A580" s="616"/>
      <c r="B580" s="576" t="s">
        <v>775</v>
      </c>
      <c r="C580" s="591"/>
      <c r="D580" s="617"/>
      <c r="E580" s="618">
        <v>15.35</v>
      </c>
      <c r="F580" s="619"/>
      <c r="G580" s="620"/>
      <c r="H580" s="621"/>
      <c r="I580" s="622"/>
      <c r="J580" s="623"/>
      <c r="K580" s="586"/>
      <c r="L580" s="586"/>
      <c r="M580" s="571"/>
      <c r="N580" s="590" t="s">
        <v>611</v>
      </c>
      <c r="O580" s="590" t="s">
        <v>611</v>
      </c>
      <c r="P580" s="587" t="s">
        <v>611</v>
      </c>
      <c r="Q580" s="572"/>
      <c r="R580" s="573"/>
      <c r="S580" s="574"/>
      <c r="T580" s="574"/>
      <c r="U580" s="574"/>
      <c r="V580" s="574"/>
      <c r="W580" s="574"/>
      <c r="X580" s="572"/>
      <c r="Y580" s="572"/>
      <c r="Z580" s="572"/>
      <c r="AB580" s="573"/>
    </row>
    <row r="581" spans="1:28" s="575" customFormat="1">
      <c r="A581" s="616"/>
      <c r="B581" s="576" t="s">
        <v>777</v>
      </c>
      <c r="C581" s="591"/>
      <c r="D581" s="617"/>
      <c r="E581" s="618">
        <v>38.450000000000003</v>
      </c>
      <c r="F581" s="619"/>
      <c r="G581" s="620"/>
      <c r="H581" s="621"/>
      <c r="I581" s="622"/>
      <c r="J581" s="623"/>
      <c r="K581" s="586"/>
      <c r="L581" s="586"/>
      <c r="M581" s="571"/>
      <c r="N581" s="590" t="s">
        <v>611</v>
      </c>
      <c r="O581" s="590" t="s">
        <v>611</v>
      </c>
      <c r="P581" s="587" t="s">
        <v>611</v>
      </c>
      <c r="Q581" s="572"/>
      <c r="R581" s="573"/>
      <c r="S581" s="574"/>
      <c r="T581" s="574"/>
      <c r="U581" s="574"/>
      <c r="V581" s="574"/>
      <c r="W581" s="574"/>
      <c r="X581" s="572"/>
      <c r="Y581" s="572"/>
      <c r="Z581" s="572"/>
      <c r="AB581" s="573"/>
    </row>
    <row r="582" spans="1:28" s="575" customFormat="1">
      <c r="A582" s="616"/>
      <c r="B582" s="576" t="s">
        <v>778</v>
      </c>
      <c r="C582" s="591"/>
      <c r="D582" s="617"/>
      <c r="E582" s="618">
        <v>2.4</v>
      </c>
      <c r="F582" s="619"/>
      <c r="G582" s="620"/>
      <c r="H582" s="621"/>
      <c r="I582" s="622"/>
      <c r="J582" s="623"/>
      <c r="K582" s="586"/>
      <c r="L582" s="586"/>
      <c r="M582" s="571"/>
      <c r="N582" s="590" t="s">
        <v>611</v>
      </c>
      <c r="O582" s="590" t="s">
        <v>611</v>
      </c>
      <c r="P582" s="587" t="s">
        <v>611</v>
      </c>
      <c r="Q582" s="572"/>
      <c r="R582" s="573"/>
      <c r="S582" s="574"/>
      <c r="T582" s="574"/>
      <c r="U582" s="574"/>
      <c r="V582" s="574"/>
      <c r="W582" s="574"/>
      <c r="X582" s="572"/>
      <c r="Y582" s="572"/>
      <c r="Z582" s="572"/>
      <c r="AB582" s="573"/>
    </row>
    <row r="583" spans="1:28" s="575" customFormat="1">
      <c r="A583" s="616"/>
      <c r="B583" s="576" t="s">
        <v>779</v>
      </c>
      <c r="C583" s="591"/>
      <c r="D583" s="617"/>
      <c r="E583" s="618">
        <v>6</v>
      </c>
      <c r="F583" s="619"/>
      <c r="G583" s="620"/>
      <c r="H583" s="621"/>
      <c r="I583" s="622"/>
      <c r="J583" s="623"/>
      <c r="K583" s="586"/>
      <c r="L583" s="586"/>
      <c r="M583" s="571"/>
      <c r="N583" s="577" t="s">
        <v>611</v>
      </c>
      <c r="O583" s="577">
        <v>1</v>
      </c>
      <c r="P583" s="577" t="s">
        <v>611</v>
      </c>
      <c r="Q583" s="572"/>
      <c r="R583" s="573"/>
      <c r="S583" s="574"/>
      <c r="T583" s="574"/>
      <c r="U583" s="574"/>
      <c r="V583" s="574"/>
      <c r="W583" s="574"/>
      <c r="X583" s="572"/>
      <c r="Y583" s="572"/>
      <c r="Z583" s="572"/>
      <c r="AB583" s="573" t="s">
        <v>668</v>
      </c>
    </row>
    <row r="584" spans="1:28" s="575" customFormat="1">
      <c r="A584" s="616"/>
      <c r="B584" s="576" t="s">
        <v>780</v>
      </c>
      <c r="C584" s="591"/>
      <c r="D584" s="617"/>
      <c r="E584" s="618">
        <v>4.25</v>
      </c>
      <c r="F584" s="619"/>
      <c r="G584" s="620"/>
      <c r="H584" s="621"/>
      <c r="I584" s="622"/>
      <c r="J584" s="623"/>
      <c r="K584" s="586"/>
      <c r="L584" s="586"/>
      <c r="M584" s="571"/>
      <c r="N584" s="590" t="s">
        <v>611</v>
      </c>
      <c r="O584" s="590" t="s">
        <v>611</v>
      </c>
      <c r="P584" s="587" t="s">
        <v>611</v>
      </c>
      <c r="Q584" s="572"/>
      <c r="R584" s="573"/>
      <c r="S584" s="574"/>
      <c r="T584" s="574"/>
      <c r="U584" s="574"/>
      <c r="V584" s="574"/>
      <c r="W584" s="574"/>
      <c r="X584" s="572"/>
      <c r="Y584" s="572"/>
      <c r="Z584" s="572"/>
      <c r="AB584" s="573"/>
    </row>
    <row r="585" spans="1:28" s="575" customFormat="1">
      <c r="A585" s="616"/>
      <c r="B585" s="576" t="s">
        <v>781</v>
      </c>
      <c r="C585" s="591"/>
      <c r="D585" s="617"/>
      <c r="E585" s="618">
        <v>4</v>
      </c>
      <c r="F585" s="619"/>
      <c r="G585" s="620"/>
      <c r="H585" s="621"/>
      <c r="I585" s="622"/>
      <c r="J585" s="623"/>
      <c r="K585" s="586"/>
      <c r="L585" s="586"/>
      <c r="M585" s="571"/>
      <c r="N585" s="590" t="s">
        <v>611</v>
      </c>
      <c r="O585" s="590" t="s">
        <v>611</v>
      </c>
      <c r="P585" s="587" t="s">
        <v>611</v>
      </c>
      <c r="Q585" s="572"/>
      <c r="R585" s="573"/>
      <c r="S585" s="574"/>
      <c r="T585" s="574"/>
      <c r="U585" s="574"/>
      <c r="V585" s="574"/>
      <c r="W585" s="574"/>
      <c r="X585" s="572"/>
      <c r="Y585" s="572"/>
      <c r="Z585" s="572"/>
      <c r="AB585" s="573"/>
    </row>
    <row r="586" spans="1:28" s="575" customFormat="1">
      <c r="A586" s="616"/>
      <c r="B586" s="576" t="s">
        <v>782</v>
      </c>
      <c r="C586" s="591"/>
      <c r="D586" s="617"/>
      <c r="E586" s="618">
        <f>1+1.1</f>
        <v>2.1</v>
      </c>
      <c r="F586" s="619"/>
      <c r="G586" s="620"/>
      <c r="H586" s="621"/>
      <c r="I586" s="622"/>
      <c r="J586" s="623"/>
      <c r="K586" s="586"/>
      <c r="L586" s="586"/>
      <c r="M586" s="571"/>
      <c r="N586" s="590" t="s">
        <v>611</v>
      </c>
      <c r="O586" s="590" t="s">
        <v>611</v>
      </c>
      <c r="P586" s="587" t="s">
        <v>611</v>
      </c>
      <c r="Q586" s="572"/>
      <c r="R586" s="573"/>
      <c r="S586" s="574"/>
      <c r="T586" s="574"/>
      <c r="U586" s="574"/>
      <c r="V586" s="574"/>
      <c r="W586" s="574"/>
      <c r="X586" s="572"/>
      <c r="Y586" s="572"/>
      <c r="Z586" s="572"/>
      <c r="AB586" s="573"/>
    </row>
    <row r="587" spans="1:28" s="575" customFormat="1">
      <c r="A587" s="616"/>
      <c r="B587" s="576" t="s">
        <v>783</v>
      </c>
      <c r="C587" s="591"/>
      <c r="D587" s="617"/>
      <c r="E587" s="618">
        <v>6</v>
      </c>
      <c r="F587" s="619"/>
      <c r="G587" s="620"/>
      <c r="H587" s="621"/>
      <c r="I587" s="622"/>
      <c r="J587" s="623"/>
      <c r="K587" s="586"/>
      <c r="L587" s="586"/>
      <c r="M587" s="571"/>
      <c r="N587" s="590" t="s">
        <v>611</v>
      </c>
      <c r="O587" s="590" t="s">
        <v>611</v>
      </c>
      <c r="P587" s="587" t="s">
        <v>611</v>
      </c>
      <c r="Q587" s="572"/>
      <c r="R587" s="573"/>
      <c r="S587" s="574"/>
      <c r="T587" s="574"/>
      <c r="U587" s="574"/>
      <c r="V587" s="574"/>
      <c r="W587" s="574"/>
      <c r="X587" s="572"/>
      <c r="Y587" s="572"/>
      <c r="Z587" s="572"/>
      <c r="AB587" s="573"/>
    </row>
    <row r="588" spans="1:28" s="575" customFormat="1" ht="46.5">
      <c r="A588" s="616"/>
      <c r="B588" s="576" t="s">
        <v>784</v>
      </c>
      <c r="C588" s="591"/>
      <c r="D588" s="617"/>
      <c r="E588" s="618">
        <v>3.65</v>
      </c>
      <c r="F588" s="619"/>
      <c r="G588" s="620"/>
      <c r="H588" s="621"/>
      <c r="I588" s="622"/>
      <c r="J588" s="623"/>
      <c r="K588" s="586"/>
      <c r="L588" s="586"/>
      <c r="M588" s="571"/>
      <c r="N588" s="590" t="s">
        <v>611</v>
      </c>
      <c r="O588" s="590" t="s">
        <v>611</v>
      </c>
      <c r="P588" s="587" t="s">
        <v>611</v>
      </c>
      <c r="Q588" s="572"/>
      <c r="R588" s="573"/>
      <c r="S588" s="574"/>
      <c r="T588" s="574"/>
      <c r="U588" s="574"/>
      <c r="V588" s="574"/>
      <c r="W588" s="574"/>
      <c r="X588" s="572"/>
      <c r="Y588" s="572"/>
      <c r="Z588" s="572"/>
      <c r="AB588" s="573"/>
    </row>
    <row r="589" spans="1:28" s="575" customFormat="1" ht="46.5">
      <c r="A589" s="616"/>
      <c r="B589" s="576" t="s">
        <v>785</v>
      </c>
      <c r="C589" s="591"/>
      <c r="D589" s="617"/>
      <c r="E589" s="618">
        <v>6</v>
      </c>
      <c r="F589" s="619"/>
      <c r="G589" s="620"/>
      <c r="H589" s="621"/>
      <c r="I589" s="622"/>
      <c r="J589" s="623"/>
      <c r="K589" s="586"/>
      <c r="L589" s="586"/>
      <c r="M589" s="571"/>
      <c r="N589" s="590" t="s">
        <v>611</v>
      </c>
      <c r="O589" s="590" t="s">
        <v>611</v>
      </c>
      <c r="P589" s="587" t="s">
        <v>611</v>
      </c>
      <c r="Q589" s="572"/>
      <c r="R589" s="573"/>
      <c r="S589" s="574"/>
      <c r="T589" s="574"/>
      <c r="U589" s="574"/>
      <c r="V589" s="574"/>
      <c r="W589" s="574"/>
      <c r="X589" s="572"/>
      <c r="Y589" s="572"/>
      <c r="Z589" s="572"/>
      <c r="AB589" s="573"/>
    </row>
    <row r="590" spans="1:28" s="575" customFormat="1" ht="46.5">
      <c r="A590" s="616"/>
      <c r="B590" s="576" t="s">
        <v>786</v>
      </c>
      <c r="C590" s="591"/>
      <c r="D590" s="617"/>
      <c r="E590" s="618">
        <v>4.8499999999999996</v>
      </c>
      <c r="F590" s="619"/>
      <c r="G590" s="620"/>
      <c r="H590" s="621"/>
      <c r="I590" s="622"/>
      <c r="J590" s="623"/>
      <c r="K590" s="586"/>
      <c r="L590" s="586"/>
      <c r="M590" s="571"/>
      <c r="N590" s="590" t="s">
        <v>611</v>
      </c>
      <c r="O590" s="590" t="s">
        <v>611</v>
      </c>
      <c r="P590" s="587" t="s">
        <v>611</v>
      </c>
      <c r="Q590" s="572"/>
      <c r="R590" s="573"/>
      <c r="S590" s="574"/>
      <c r="T590" s="574"/>
      <c r="U590" s="574"/>
      <c r="V590" s="574"/>
      <c r="W590" s="574"/>
      <c r="X590" s="572"/>
      <c r="Y590" s="572"/>
      <c r="Z590" s="572"/>
      <c r="AB590" s="573"/>
    </row>
    <row r="591" spans="1:28" s="575" customFormat="1" ht="46.5">
      <c r="A591" s="616"/>
      <c r="B591" s="576" t="s">
        <v>787</v>
      </c>
      <c r="C591" s="591"/>
      <c r="D591" s="617"/>
      <c r="E591" s="618">
        <v>5.7</v>
      </c>
      <c r="F591" s="619"/>
      <c r="G591" s="620"/>
      <c r="H591" s="621"/>
      <c r="I591" s="622"/>
      <c r="J591" s="623"/>
      <c r="K591" s="586"/>
      <c r="L591" s="586"/>
      <c r="M591" s="571"/>
      <c r="N591" s="590" t="s">
        <v>611</v>
      </c>
      <c r="O591" s="590" t="s">
        <v>611</v>
      </c>
      <c r="P591" s="587" t="s">
        <v>611</v>
      </c>
      <c r="Q591" s="572"/>
      <c r="R591" s="573"/>
      <c r="S591" s="574"/>
      <c r="T591" s="574"/>
      <c r="U591" s="574"/>
      <c r="V591" s="574"/>
      <c r="W591" s="574"/>
      <c r="X591" s="572"/>
      <c r="Y591" s="572"/>
      <c r="Z591" s="572"/>
      <c r="AB591" s="573"/>
    </row>
    <row r="592" spans="1:28" s="575" customFormat="1" ht="46.5">
      <c r="A592" s="616"/>
      <c r="B592" s="576" t="s">
        <v>788</v>
      </c>
      <c r="C592" s="591"/>
      <c r="D592" s="617"/>
      <c r="E592" s="618">
        <v>4.8499999999999996</v>
      </c>
      <c r="F592" s="619"/>
      <c r="G592" s="620"/>
      <c r="H592" s="621"/>
      <c r="I592" s="622"/>
      <c r="J592" s="623"/>
      <c r="K592" s="586"/>
      <c r="L592" s="586"/>
      <c r="M592" s="571"/>
      <c r="N592" s="590" t="s">
        <v>611</v>
      </c>
      <c r="O592" s="590" t="s">
        <v>611</v>
      </c>
      <c r="P592" s="587" t="s">
        <v>611</v>
      </c>
      <c r="Q592" s="572"/>
      <c r="R592" s="573"/>
      <c r="S592" s="574"/>
      <c r="T592" s="574"/>
      <c r="U592" s="574"/>
      <c r="V592" s="574"/>
      <c r="W592" s="574"/>
      <c r="X592" s="572"/>
      <c r="Y592" s="572"/>
      <c r="Z592" s="572"/>
      <c r="AB592" s="573"/>
    </row>
    <row r="593" spans="1:28" s="575" customFormat="1">
      <c r="A593" s="616"/>
      <c r="B593" s="576" t="s">
        <v>789</v>
      </c>
      <c r="C593" s="591"/>
      <c r="D593" s="617"/>
      <c r="E593" s="618">
        <v>6</v>
      </c>
      <c r="F593" s="619"/>
      <c r="G593" s="620"/>
      <c r="H593" s="621"/>
      <c r="I593" s="622"/>
      <c r="J593" s="623"/>
      <c r="K593" s="586"/>
      <c r="L593" s="586"/>
      <c r="M593" s="571"/>
      <c r="N593" s="590" t="s">
        <v>611</v>
      </c>
      <c r="O593" s="590" t="s">
        <v>611</v>
      </c>
      <c r="P593" s="587" t="s">
        <v>611</v>
      </c>
      <c r="Q593" s="572"/>
      <c r="R593" s="573"/>
      <c r="S593" s="574"/>
      <c r="T593" s="574"/>
      <c r="U593" s="574"/>
      <c r="V593" s="574"/>
      <c r="W593" s="574"/>
      <c r="X593" s="572"/>
      <c r="Y593" s="572"/>
      <c r="Z593" s="572"/>
      <c r="AB593" s="573"/>
    </row>
    <row r="594" spans="1:28" s="575" customFormat="1">
      <c r="A594" s="616"/>
      <c r="B594" s="576" t="s">
        <v>790</v>
      </c>
      <c r="C594" s="591"/>
      <c r="D594" s="617"/>
      <c r="E594" s="618">
        <v>6</v>
      </c>
      <c r="F594" s="619"/>
      <c r="G594" s="620"/>
      <c r="H594" s="621"/>
      <c r="I594" s="622"/>
      <c r="J594" s="623"/>
      <c r="K594" s="586"/>
      <c r="L594" s="586"/>
      <c r="M594" s="571"/>
      <c r="N594" s="590" t="s">
        <v>611</v>
      </c>
      <c r="O594" s="590" t="s">
        <v>611</v>
      </c>
      <c r="P594" s="587" t="s">
        <v>611</v>
      </c>
      <c r="Q594" s="572"/>
      <c r="R594" s="573"/>
      <c r="S594" s="574"/>
      <c r="T594" s="574"/>
      <c r="U594" s="574"/>
      <c r="V594" s="574"/>
      <c r="W594" s="574"/>
      <c r="X594" s="572"/>
      <c r="Y594" s="572"/>
      <c r="Z594" s="572"/>
      <c r="AB594" s="573"/>
    </row>
    <row r="595" spans="1:28" s="575" customFormat="1">
      <c r="A595" s="616"/>
      <c r="B595" s="576" t="s">
        <v>791</v>
      </c>
      <c r="C595" s="591"/>
      <c r="D595" s="617"/>
      <c r="E595" s="618">
        <v>6</v>
      </c>
      <c r="F595" s="619"/>
      <c r="G595" s="620"/>
      <c r="H595" s="621"/>
      <c r="I595" s="622"/>
      <c r="J595" s="623"/>
      <c r="K595" s="586"/>
      <c r="L595" s="586"/>
      <c r="M595" s="571"/>
      <c r="N595" s="590" t="s">
        <v>611</v>
      </c>
      <c r="O595" s="590" t="s">
        <v>611</v>
      </c>
      <c r="P595" s="587" t="s">
        <v>611</v>
      </c>
      <c r="Q595" s="572"/>
      <c r="R595" s="573"/>
      <c r="S595" s="574"/>
      <c r="T595" s="574"/>
      <c r="U595" s="574"/>
      <c r="V595" s="574"/>
      <c r="W595" s="574"/>
      <c r="X595" s="572"/>
      <c r="Y595" s="572"/>
      <c r="Z595" s="572"/>
      <c r="AB595" s="573"/>
    </row>
    <row r="596" spans="1:28" s="575" customFormat="1" ht="46.5">
      <c r="A596" s="616"/>
      <c r="B596" s="576" t="s">
        <v>792</v>
      </c>
      <c r="C596" s="591"/>
      <c r="D596" s="617"/>
      <c r="E596" s="618">
        <v>5.8</v>
      </c>
      <c r="F596" s="619"/>
      <c r="G596" s="620"/>
      <c r="H596" s="621"/>
      <c r="I596" s="622"/>
      <c r="J596" s="623"/>
      <c r="K596" s="586"/>
      <c r="L596" s="586"/>
      <c r="M596" s="571"/>
      <c r="N596" s="590" t="s">
        <v>611</v>
      </c>
      <c r="O596" s="590" t="s">
        <v>611</v>
      </c>
      <c r="P596" s="587" t="s">
        <v>611</v>
      </c>
      <c r="Q596" s="572"/>
      <c r="R596" s="573"/>
      <c r="S596" s="574"/>
      <c r="T596" s="574"/>
      <c r="U596" s="574"/>
      <c r="V596" s="574"/>
      <c r="W596" s="574"/>
      <c r="X596" s="572"/>
      <c r="Y596" s="572"/>
      <c r="Z596" s="572"/>
      <c r="AB596" s="573"/>
    </row>
    <row r="597" spans="1:28" s="575" customFormat="1">
      <c r="A597" s="616"/>
      <c r="B597" s="576" t="s">
        <v>793</v>
      </c>
      <c r="C597" s="591"/>
      <c r="D597" s="617"/>
      <c r="E597" s="618">
        <v>1.8</v>
      </c>
      <c r="F597" s="619"/>
      <c r="G597" s="620"/>
      <c r="H597" s="621"/>
      <c r="I597" s="622"/>
      <c r="J597" s="623"/>
      <c r="K597" s="586"/>
      <c r="L597" s="586"/>
      <c r="M597" s="571"/>
      <c r="N597" s="590" t="s">
        <v>611</v>
      </c>
      <c r="O597" s="590" t="s">
        <v>611</v>
      </c>
      <c r="P597" s="587" t="s">
        <v>611</v>
      </c>
      <c r="Q597" s="572"/>
      <c r="R597" s="573"/>
      <c r="S597" s="574"/>
      <c r="T597" s="574"/>
      <c r="U597" s="574"/>
      <c r="V597" s="574"/>
      <c r="W597" s="574"/>
      <c r="X597" s="572"/>
      <c r="Y597" s="572"/>
      <c r="Z597" s="572"/>
      <c r="AB597" s="573"/>
    </row>
    <row r="598" spans="1:28" s="575" customFormat="1" ht="46.5">
      <c r="A598" s="616"/>
      <c r="B598" s="576" t="s">
        <v>794</v>
      </c>
      <c r="C598" s="591"/>
      <c r="D598" s="617"/>
      <c r="E598" s="618">
        <v>2.85</v>
      </c>
      <c r="F598" s="619"/>
      <c r="G598" s="620"/>
      <c r="H598" s="621"/>
      <c r="I598" s="622"/>
      <c r="J598" s="623"/>
      <c r="K598" s="586"/>
      <c r="L598" s="586"/>
      <c r="M598" s="571"/>
      <c r="N598" s="590" t="s">
        <v>611</v>
      </c>
      <c r="O598" s="590" t="s">
        <v>611</v>
      </c>
      <c r="P598" s="587" t="s">
        <v>611</v>
      </c>
      <c r="Q598" s="572"/>
      <c r="R598" s="573"/>
      <c r="S598" s="574"/>
      <c r="T598" s="574"/>
      <c r="U598" s="574"/>
      <c r="V598" s="574"/>
      <c r="W598" s="574"/>
      <c r="X598" s="572"/>
      <c r="Y598" s="572"/>
      <c r="Z598" s="572"/>
      <c r="AB598" s="573"/>
    </row>
    <row r="599" spans="1:28" s="575" customFormat="1" ht="46.5">
      <c r="A599" s="616"/>
      <c r="B599" s="576" t="s">
        <v>795</v>
      </c>
      <c r="C599" s="591"/>
      <c r="D599" s="617"/>
      <c r="E599" s="618">
        <v>4.9000000000000004</v>
      </c>
      <c r="F599" s="619"/>
      <c r="G599" s="620"/>
      <c r="H599" s="621"/>
      <c r="I599" s="622"/>
      <c r="J599" s="623"/>
      <c r="K599" s="586"/>
      <c r="L599" s="586"/>
      <c r="M599" s="571"/>
      <c r="N599" s="590" t="s">
        <v>611</v>
      </c>
      <c r="O599" s="590" t="s">
        <v>611</v>
      </c>
      <c r="P599" s="587" t="s">
        <v>611</v>
      </c>
      <c r="Q599" s="572"/>
      <c r="R599" s="573"/>
      <c r="S599" s="574"/>
      <c r="T599" s="574"/>
      <c r="U599" s="574"/>
      <c r="V599" s="574"/>
      <c r="W599" s="574"/>
      <c r="X599" s="572"/>
      <c r="Y599" s="572"/>
      <c r="Z599" s="572"/>
      <c r="AB599" s="573"/>
    </row>
    <row r="600" spans="1:28" s="575" customFormat="1" ht="46.5">
      <c r="A600" s="616"/>
      <c r="B600" s="576" t="s">
        <v>796</v>
      </c>
      <c r="C600" s="591"/>
      <c r="D600" s="617"/>
      <c r="E600" s="618">
        <v>5.8</v>
      </c>
      <c r="F600" s="619"/>
      <c r="G600" s="620"/>
      <c r="H600" s="621"/>
      <c r="I600" s="622"/>
      <c r="J600" s="623"/>
      <c r="K600" s="586"/>
      <c r="L600" s="586"/>
      <c r="M600" s="571"/>
      <c r="N600" s="590" t="s">
        <v>611</v>
      </c>
      <c r="O600" s="590" t="s">
        <v>611</v>
      </c>
      <c r="P600" s="587" t="s">
        <v>611</v>
      </c>
      <c r="Q600" s="572"/>
      <c r="R600" s="573"/>
      <c r="S600" s="574"/>
      <c r="T600" s="574"/>
      <c r="U600" s="574"/>
      <c r="V600" s="574"/>
      <c r="W600" s="574"/>
      <c r="X600" s="572"/>
      <c r="Y600" s="572"/>
      <c r="Z600" s="572"/>
      <c r="AB600" s="573"/>
    </row>
    <row r="601" spans="1:28" s="575" customFormat="1">
      <c r="A601" s="616"/>
      <c r="B601" s="576" t="s">
        <v>797</v>
      </c>
      <c r="C601" s="591"/>
      <c r="D601" s="617"/>
      <c r="E601" s="618">
        <v>1.8</v>
      </c>
      <c r="F601" s="619"/>
      <c r="G601" s="620"/>
      <c r="H601" s="621"/>
      <c r="I601" s="622"/>
      <c r="J601" s="623"/>
      <c r="K601" s="586"/>
      <c r="L601" s="586"/>
      <c r="M601" s="571"/>
      <c r="N601" s="590" t="s">
        <v>611</v>
      </c>
      <c r="O601" s="590" t="s">
        <v>611</v>
      </c>
      <c r="P601" s="587" t="s">
        <v>611</v>
      </c>
      <c r="Q601" s="572"/>
      <c r="R601" s="573"/>
      <c r="S601" s="574"/>
      <c r="T601" s="574"/>
      <c r="U601" s="574"/>
      <c r="V601" s="574"/>
      <c r="W601" s="574"/>
      <c r="X601" s="572"/>
      <c r="Y601" s="572"/>
      <c r="Z601" s="572"/>
      <c r="AB601" s="573"/>
    </row>
    <row r="602" spans="1:28" s="575" customFormat="1">
      <c r="A602" s="616"/>
      <c r="B602" s="576" t="s">
        <v>798</v>
      </c>
      <c r="C602" s="591"/>
      <c r="D602" s="617"/>
      <c r="E602" s="618">
        <v>2.85</v>
      </c>
      <c r="F602" s="619"/>
      <c r="G602" s="620"/>
      <c r="H602" s="621"/>
      <c r="I602" s="622"/>
      <c r="J602" s="623"/>
      <c r="K602" s="586"/>
      <c r="L602" s="586"/>
      <c r="M602" s="571"/>
      <c r="N602" s="590" t="s">
        <v>611</v>
      </c>
      <c r="O602" s="590" t="s">
        <v>611</v>
      </c>
      <c r="P602" s="587" t="s">
        <v>611</v>
      </c>
      <c r="Q602" s="572"/>
      <c r="R602" s="573"/>
      <c r="S602" s="574"/>
      <c r="T602" s="574"/>
      <c r="U602" s="574"/>
      <c r="V602" s="574"/>
      <c r="W602" s="574"/>
      <c r="X602" s="572"/>
      <c r="Y602" s="572"/>
      <c r="Z602" s="572"/>
      <c r="AB602" s="573"/>
    </row>
    <row r="603" spans="1:28" s="575" customFormat="1">
      <c r="A603" s="616"/>
      <c r="B603" s="576" t="s">
        <v>799</v>
      </c>
      <c r="C603" s="591"/>
      <c r="D603" s="617"/>
      <c r="E603" s="618">
        <v>6</v>
      </c>
      <c r="F603" s="619"/>
      <c r="G603" s="620"/>
      <c r="H603" s="621"/>
      <c r="I603" s="622"/>
      <c r="J603" s="623"/>
      <c r="K603" s="586"/>
      <c r="L603" s="586"/>
      <c r="M603" s="571"/>
      <c r="N603" s="590" t="s">
        <v>611</v>
      </c>
      <c r="O603" s="590" t="s">
        <v>611</v>
      </c>
      <c r="P603" s="587" t="s">
        <v>611</v>
      </c>
      <c r="Q603" s="572"/>
      <c r="R603" s="573"/>
      <c r="S603" s="574"/>
      <c r="T603" s="574"/>
      <c r="U603" s="574"/>
      <c r="V603" s="574"/>
      <c r="W603" s="574"/>
      <c r="X603" s="572"/>
      <c r="Y603" s="572"/>
      <c r="Z603" s="572"/>
      <c r="AB603" s="573"/>
    </row>
    <row r="604" spans="1:28" s="575" customFormat="1">
      <c r="A604" s="616"/>
      <c r="B604" s="576" t="s">
        <v>800</v>
      </c>
      <c r="C604" s="591"/>
      <c r="D604" s="617"/>
      <c r="E604" s="618">
        <v>1.35</v>
      </c>
      <c r="F604" s="619"/>
      <c r="G604" s="620"/>
      <c r="H604" s="621"/>
      <c r="I604" s="622"/>
      <c r="J604" s="623"/>
      <c r="K604" s="586"/>
      <c r="L604" s="586"/>
      <c r="M604" s="571"/>
      <c r="N604" s="590" t="s">
        <v>611</v>
      </c>
      <c r="O604" s="590" t="s">
        <v>611</v>
      </c>
      <c r="P604" s="587" t="s">
        <v>611</v>
      </c>
      <c r="Q604" s="572"/>
      <c r="R604" s="573"/>
      <c r="S604" s="574"/>
      <c r="T604" s="574"/>
      <c r="U604" s="574"/>
      <c r="V604" s="574"/>
      <c r="W604" s="574"/>
      <c r="X604" s="572"/>
      <c r="Y604" s="572"/>
      <c r="Z604" s="572"/>
      <c r="AB604" s="573"/>
    </row>
    <row r="605" spans="1:28" s="575" customFormat="1" ht="46.5">
      <c r="A605" s="616"/>
      <c r="B605" s="576" t="s">
        <v>801</v>
      </c>
      <c r="C605" s="591"/>
      <c r="D605" s="617"/>
      <c r="E605" s="618">
        <v>4.6500000000000004</v>
      </c>
      <c r="F605" s="619"/>
      <c r="G605" s="620"/>
      <c r="H605" s="621"/>
      <c r="I605" s="622"/>
      <c r="J605" s="623"/>
      <c r="K605" s="586"/>
      <c r="L605" s="586"/>
      <c r="M605" s="571"/>
      <c r="N605" s="590" t="s">
        <v>611</v>
      </c>
      <c r="O605" s="590" t="s">
        <v>611</v>
      </c>
      <c r="P605" s="587" t="s">
        <v>611</v>
      </c>
      <c r="Q605" s="572"/>
      <c r="R605" s="573"/>
      <c r="S605" s="574"/>
      <c r="T605" s="574"/>
      <c r="U605" s="574"/>
      <c r="V605" s="574"/>
      <c r="W605" s="574"/>
      <c r="X605" s="572"/>
      <c r="Y605" s="572"/>
      <c r="Z605" s="572"/>
      <c r="AB605" s="573"/>
    </row>
    <row r="606" spans="1:28" s="575" customFormat="1">
      <c r="A606" s="616"/>
      <c r="B606" s="576" t="s">
        <v>802</v>
      </c>
      <c r="C606" s="591"/>
      <c r="D606" s="617"/>
      <c r="E606" s="618">
        <v>3.55</v>
      </c>
      <c r="F606" s="619"/>
      <c r="G606" s="620"/>
      <c r="H606" s="621"/>
      <c r="I606" s="622"/>
      <c r="J606" s="623"/>
      <c r="K606" s="586"/>
      <c r="L606" s="586"/>
      <c r="M606" s="571"/>
      <c r="N606" s="590" t="s">
        <v>611</v>
      </c>
      <c r="O606" s="590" t="s">
        <v>611</v>
      </c>
      <c r="P606" s="587" t="s">
        <v>611</v>
      </c>
      <c r="Q606" s="572"/>
      <c r="R606" s="573"/>
      <c r="S606" s="574"/>
      <c r="T606" s="574"/>
      <c r="U606" s="574"/>
      <c r="V606" s="574"/>
      <c r="W606" s="574"/>
      <c r="X606" s="572"/>
      <c r="Y606" s="572"/>
      <c r="Z606" s="572"/>
      <c r="AB606" s="573"/>
    </row>
    <row r="607" spans="1:28" s="575" customFormat="1">
      <c r="A607" s="616"/>
      <c r="B607" s="576" t="s">
        <v>836</v>
      </c>
      <c r="C607" s="591"/>
      <c r="D607" s="617"/>
      <c r="E607" s="618">
        <v>3.5</v>
      </c>
      <c r="F607" s="619"/>
      <c r="G607" s="620"/>
      <c r="H607" s="621"/>
      <c r="I607" s="622"/>
      <c r="J607" s="623"/>
      <c r="K607" s="586"/>
      <c r="L607" s="586"/>
      <c r="M607" s="571"/>
      <c r="N607" s="590" t="s">
        <v>611</v>
      </c>
      <c r="O607" s="590" t="s">
        <v>611</v>
      </c>
      <c r="P607" s="587" t="s">
        <v>611</v>
      </c>
      <c r="Q607" s="572"/>
      <c r="R607" s="573"/>
      <c r="S607" s="574"/>
      <c r="T607" s="574"/>
      <c r="U607" s="574"/>
      <c r="V607" s="574"/>
      <c r="W607" s="574"/>
      <c r="X607" s="572"/>
      <c r="Y607" s="572"/>
      <c r="Z607" s="572"/>
      <c r="AB607" s="573"/>
    </row>
    <row r="608" spans="1:28" s="575" customFormat="1" ht="46.5">
      <c r="A608" s="616"/>
      <c r="B608" s="576" t="s">
        <v>837</v>
      </c>
      <c r="C608" s="591"/>
      <c r="D608" s="617"/>
      <c r="E608" s="618">
        <v>6</v>
      </c>
      <c r="F608" s="619"/>
      <c r="G608" s="620"/>
      <c r="H608" s="621"/>
      <c r="I608" s="622"/>
      <c r="J608" s="623"/>
      <c r="K608" s="586"/>
      <c r="L608" s="586"/>
      <c r="M608" s="571"/>
      <c r="N608" s="590" t="s">
        <v>611</v>
      </c>
      <c r="O608" s="590" t="s">
        <v>611</v>
      </c>
      <c r="P608" s="587" t="s">
        <v>611</v>
      </c>
      <c r="Q608" s="572"/>
      <c r="R608" s="573"/>
      <c r="S608" s="574"/>
      <c r="T608" s="574"/>
      <c r="U608" s="574"/>
      <c r="V608" s="574"/>
      <c r="W608" s="574"/>
      <c r="X608" s="572"/>
      <c r="Y608" s="572"/>
      <c r="Z608" s="572"/>
      <c r="AB608" s="573"/>
    </row>
    <row r="609" spans="1:28" s="575" customFormat="1">
      <c r="A609" s="616"/>
      <c r="B609" s="576" t="s">
        <v>805</v>
      </c>
      <c r="C609" s="591"/>
      <c r="D609" s="617"/>
      <c r="E609" s="618">
        <v>3.5</v>
      </c>
      <c r="F609" s="619"/>
      <c r="G609" s="620"/>
      <c r="H609" s="621"/>
      <c r="I609" s="622"/>
      <c r="J609" s="623"/>
      <c r="K609" s="586"/>
      <c r="L609" s="586"/>
      <c r="M609" s="571"/>
      <c r="N609" s="590" t="s">
        <v>611</v>
      </c>
      <c r="O609" s="590" t="s">
        <v>611</v>
      </c>
      <c r="P609" s="587" t="s">
        <v>611</v>
      </c>
      <c r="Q609" s="572"/>
      <c r="R609" s="573"/>
      <c r="S609" s="574"/>
      <c r="T609" s="574"/>
      <c r="U609" s="574"/>
      <c r="V609" s="574"/>
      <c r="W609" s="574"/>
      <c r="X609" s="572"/>
      <c r="Y609" s="572"/>
      <c r="Z609" s="572"/>
      <c r="AB609" s="573"/>
    </row>
    <row r="610" spans="1:28" s="575" customFormat="1">
      <c r="A610" s="616"/>
      <c r="B610" s="576" t="s">
        <v>806</v>
      </c>
      <c r="C610" s="591"/>
      <c r="D610" s="617"/>
      <c r="E610" s="618">
        <v>1.35</v>
      </c>
      <c r="F610" s="619"/>
      <c r="G610" s="620"/>
      <c r="H610" s="621"/>
      <c r="I610" s="622"/>
      <c r="J610" s="623"/>
      <c r="K610" s="586"/>
      <c r="L610" s="586"/>
      <c r="M610" s="571"/>
      <c r="N610" s="590" t="s">
        <v>611</v>
      </c>
      <c r="O610" s="590" t="s">
        <v>611</v>
      </c>
      <c r="P610" s="587" t="s">
        <v>611</v>
      </c>
      <c r="Q610" s="572"/>
      <c r="R610" s="573"/>
      <c r="S610" s="574"/>
      <c r="T610" s="574"/>
      <c r="U610" s="574"/>
      <c r="V610" s="574"/>
      <c r="W610" s="574"/>
      <c r="X610" s="572"/>
      <c r="Y610" s="572"/>
      <c r="Z610" s="572"/>
      <c r="AB610" s="573"/>
    </row>
    <row r="611" spans="1:28" s="575" customFormat="1">
      <c r="A611" s="616"/>
      <c r="B611" s="576" t="s">
        <v>807</v>
      </c>
      <c r="C611" s="591"/>
      <c r="D611" s="617"/>
      <c r="E611" s="618">
        <v>1.35</v>
      </c>
      <c r="F611" s="619"/>
      <c r="G611" s="620"/>
      <c r="H611" s="621"/>
      <c r="I611" s="622"/>
      <c r="J611" s="623"/>
      <c r="K611" s="586"/>
      <c r="L611" s="586"/>
      <c r="M611" s="571"/>
      <c r="N611" s="590" t="s">
        <v>611</v>
      </c>
      <c r="O611" s="590" t="s">
        <v>611</v>
      </c>
      <c r="P611" s="587" t="s">
        <v>611</v>
      </c>
      <c r="Q611" s="572"/>
      <c r="R611" s="573"/>
      <c r="S611" s="574"/>
      <c r="T611" s="574"/>
      <c r="U611" s="574"/>
      <c r="V611" s="574"/>
      <c r="W611" s="574"/>
      <c r="X611" s="572"/>
      <c r="Y611" s="572"/>
      <c r="Z611" s="572"/>
      <c r="AB611" s="573"/>
    </row>
    <row r="612" spans="1:28" s="575" customFormat="1">
      <c r="A612" s="616"/>
      <c r="B612" s="576" t="s">
        <v>808</v>
      </c>
      <c r="C612" s="591"/>
      <c r="D612" s="617"/>
      <c r="E612" s="618">
        <v>1.9</v>
      </c>
      <c r="F612" s="619"/>
      <c r="G612" s="620"/>
      <c r="H612" s="621"/>
      <c r="I612" s="622"/>
      <c r="J612" s="623"/>
      <c r="K612" s="586"/>
      <c r="L612" s="586"/>
      <c r="M612" s="571"/>
      <c r="N612" s="590" t="s">
        <v>611</v>
      </c>
      <c r="O612" s="590" t="s">
        <v>611</v>
      </c>
      <c r="P612" s="587" t="s">
        <v>611</v>
      </c>
      <c r="Q612" s="572"/>
      <c r="R612" s="573"/>
      <c r="S612" s="574"/>
      <c r="T612" s="574"/>
      <c r="U612" s="574"/>
      <c r="V612" s="574"/>
      <c r="W612" s="574"/>
      <c r="X612" s="572"/>
      <c r="Y612" s="572"/>
      <c r="Z612" s="572"/>
      <c r="AB612" s="573"/>
    </row>
    <row r="613" spans="1:28" s="575" customFormat="1">
      <c r="A613" s="616"/>
      <c r="B613" s="576" t="s">
        <v>809</v>
      </c>
      <c r="C613" s="591"/>
      <c r="D613" s="617"/>
      <c r="E613" s="618">
        <f>0.5+0.35</f>
        <v>0.85</v>
      </c>
      <c r="F613" s="619"/>
      <c r="G613" s="620"/>
      <c r="H613" s="621"/>
      <c r="I613" s="622"/>
      <c r="J613" s="623"/>
      <c r="K613" s="586"/>
      <c r="L613" s="586"/>
      <c r="M613" s="571"/>
      <c r="N613" s="590"/>
      <c r="O613" s="590"/>
      <c r="P613" s="587"/>
      <c r="Q613" s="572"/>
      <c r="R613" s="573"/>
      <c r="S613" s="574"/>
      <c r="T613" s="574"/>
      <c r="U613" s="574"/>
      <c r="V613" s="574"/>
      <c r="W613" s="574"/>
      <c r="X613" s="572"/>
      <c r="Y613" s="572"/>
      <c r="Z613" s="572"/>
      <c r="AB613" s="573"/>
    </row>
    <row r="614" spans="1:28" s="575" customFormat="1">
      <c r="A614" s="616"/>
      <c r="B614" s="576" t="s">
        <v>810</v>
      </c>
      <c r="C614" s="591"/>
      <c r="D614" s="617"/>
      <c r="E614" s="618">
        <v>6.45</v>
      </c>
      <c r="F614" s="619"/>
      <c r="G614" s="620"/>
      <c r="H614" s="621"/>
      <c r="I614" s="622"/>
      <c r="J614" s="623"/>
      <c r="K614" s="586"/>
      <c r="L614" s="586"/>
      <c r="M614" s="571"/>
      <c r="N614" s="590" t="s">
        <v>611</v>
      </c>
      <c r="O614" s="590" t="s">
        <v>611</v>
      </c>
      <c r="P614" s="587" t="s">
        <v>611</v>
      </c>
      <c r="Q614" s="572"/>
      <c r="R614" s="573"/>
      <c r="S614" s="574"/>
      <c r="T614" s="574"/>
      <c r="U614" s="574"/>
      <c r="V614" s="574"/>
      <c r="W614" s="574"/>
      <c r="X614" s="572"/>
      <c r="Y614" s="572"/>
      <c r="Z614" s="572"/>
      <c r="AB614" s="573"/>
    </row>
    <row r="615" spans="1:28" s="575" customFormat="1">
      <c r="A615" s="616"/>
      <c r="B615" s="576" t="s">
        <v>811</v>
      </c>
      <c r="C615" s="591"/>
      <c r="D615" s="617"/>
      <c r="E615" s="618">
        <v>2.58</v>
      </c>
      <c r="F615" s="619"/>
      <c r="G615" s="620"/>
      <c r="H615" s="621"/>
      <c r="I615" s="622"/>
      <c r="J615" s="623"/>
      <c r="K615" s="586"/>
      <c r="L615" s="586"/>
      <c r="M615" s="571"/>
      <c r="N615" s="577" t="s">
        <v>611</v>
      </c>
      <c r="O615" s="577">
        <v>5</v>
      </c>
      <c r="P615" s="577" t="s">
        <v>611</v>
      </c>
      <c r="Q615" s="572"/>
      <c r="R615" s="573"/>
      <c r="S615" s="574"/>
      <c r="T615" s="574"/>
      <c r="U615" s="574"/>
      <c r="V615" s="574"/>
      <c r="W615" s="574"/>
      <c r="X615" s="572"/>
      <c r="Y615" s="572"/>
      <c r="Z615" s="572"/>
      <c r="AB615" s="573" t="s">
        <v>668</v>
      </c>
    </row>
    <row r="616" spans="1:28" s="575" customFormat="1">
      <c r="A616" s="616"/>
      <c r="B616" s="576" t="s">
        <v>812</v>
      </c>
      <c r="C616" s="591"/>
      <c r="D616" s="617"/>
      <c r="E616" s="618">
        <v>6</v>
      </c>
      <c r="F616" s="619"/>
      <c r="G616" s="620"/>
      <c r="H616" s="621"/>
      <c r="I616" s="622"/>
      <c r="J616" s="623"/>
      <c r="K616" s="586"/>
      <c r="L616" s="586"/>
      <c r="M616" s="571"/>
      <c r="N616" s="590" t="s">
        <v>611</v>
      </c>
      <c r="O616" s="590" t="s">
        <v>611</v>
      </c>
      <c r="P616" s="587" t="s">
        <v>611</v>
      </c>
      <c r="Q616" s="572"/>
      <c r="R616" s="573"/>
      <c r="S616" s="574"/>
      <c r="T616" s="574"/>
      <c r="U616" s="574"/>
      <c r="V616" s="574"/>
      <c r="W616" s="574"/>
      <c r="X616" s="572"/>
      <c r="Y616" s="572"/>
      <c r="Z616" s="572"/>
      <c r="AB616" s="573"/>
    </row>
    <row r="617" spans="1:28" s="575" customFormat="1">
      <c r="A617" s="616"/>
      <c r="B617" s="576" t="s">
        <v>813</v>
      </c>
      <c r="C617" s="591"/>
      <c r="D617" s="617"/>
      <c r="E617" s="618">
        <v>6</v>
      </c>
      <c r="F617" s="619"/>
      <c r="G617" s="620"/>
      <c r="H617" s="621"/>
      <c r="I617" s="622"/>
      <c r="J617" s="623"/>
      <c r="K617" s="586"/>
      <c r="L617" s="586"/>
      <c r="M617" s="571"/>
      <c r="N617" s="590" t="s">
        <v>611</v>
      </c>
      <c r="O617" s="590" t="s">
        <v>611</v>
      </c>
      <c r="P617" s="587" t="s">
        <v>611</v>
      </c>
      <c r="Q617" s="572"/>
      <c r="R617" s="573"/>
      <c r="S617" s="574"/>
      <c r="T617" s="574"/>
      <c r="U617" s="574"/>
      <c r="V617" s="574"/>
      <c r="W617" s="574"/>
      <c r="X617" s="572"/>
      <c r="Y617" s="572"/>
      <c r="Z617" s="572"/>
      <c r="AB617" s="573"/>
    </row>
    <row r="618" spans="1:28" s="575" customFormat="1">
      <c r="A618" s="616"/>
      <c r="B618" s="576" t="s">
        <v>814</v>
      </c>
      <c r="C618" s="591"/>
      <c r="D618" s="617"/>
      <c r="E618" s="618">
        <v>1.9</v>
      </c>
      <c r="F618" s="619"/>
      <c r="G618" s="620"/>
      <c r="H618" s="621"/>
      <c r="I618" s="622"/>
      <c r="J618" s="623"/>
      <c r="K618" s="586"/>
      <c r="L618" s="586"/>
      <c r="M618" s="571"/>
      <c r="N618" s="590" t="s">
        <v>611</v>
      </c>
      <c r="O618" s="590" t="s">
        <v>611</v>
      </c>
      <c r="P618" s="587" t="s">
        <v>611</v>
      </c>
      <c r="Q618" s="572"/>
      <c r="R618" s="573"/>
      <c r="S618" s="574"/>
      <c r="T618" s="574"/>
      <c r="U618" s="574"/>
      <c r="V618" s="574"/>
      <c r="W618" s="574"/>
      <c r="X618" s="572"/>
      <c r="Y618" s="572"/>
      <c r="Z618" s="572"/>
      <c r="AB618" s="573"/>
    </row>
    <row r="619" spans="1:28" s="575" customFormat="1">
      <c r="A619" s="616"/>
      <c r="B619" s="576" t="s">
        <v>815</v>
      </c>
      <c r="C619" s="591"/>
      <c r="D619" s="617"/>
      <c r="E619" s="618">
        <v>1.75</v>
      </c>
      <c r="F619" s="619"/>
      <c r="G619" s="620"/>
      <c r="H619" s="621"/>
      <c r="I619" s="622"/>
      <c r="J619" s="623"/>
      <c r="K619" s="586"/>
      <c r="L619" s="586"/>
      <c r="M619" s="571"/>
      <c r="N619" s="577" t="s">
        <v>611</v>
      </c>
      <c r="O619" s="577">
        <v>3</v>
      </c>
      <c r="P619" s="577" t="s">
        <v>611</v>
      </c>
      <c r="Q619" s="572"/>
      <c r="R619" s="573"/>
      <c r="S619" s="574"/>
      <c r="T619" s="574"/>
      <c r="U619" s="574"/>
      <c r="V619" s="574"/>
      <c r="W619" s="574"/>
      <c r="X619" s="572"/>
      <c r="Y619" s="572"/>
      <c r="Z619" s="572"/>
      <c r="AB619" s="573" t="s">
        <v>668</v>
      </c>
    </row>
    <row r="620" spans="1:28" s="575" customFormat="1">
      <c r="A620" s="616"/>
      <c r="B620" s="591" t="s">
        <v>674</v>
      </c>
      <c r="C620" s="591"/>
      <c r="D620" s="617"/>
      <c r="E620" s="618"/>
      <c r="F620" s="619"/>
      <c r="G620" s="620"/>
      <c r="H620" s="622"/>
      <c r="I620" s="622"/>
      <c r="J620" s="623"/>
      <c r="K620" s="586"/>
      <c r="L620" s="586"/>
      <c r="M620" s="571"/>
      <c r="N620" s="577" t="s">
        <v>611</v>
      </c>
      <c r="O620" s="577" t="s">
        <v>611</v>
      </c>
      <c r="P620" s="577" t="s">
        <v>611</v>
      </c>
      <c r="Q620" s="572"/>
      <c r="R620" s="573"/>
      <c r="S620" s="574"/>
      <c r="T620" s="574"/>
      <c r="U620" s="574"/>
      <c r="V620" s="574"/>
      <c r="W620" s="574"/>
      <c r="X620" s="572"/>
      <c r="Y620" s="572"/>
      <c r="Z620" s="572"/>
      <c r="AB620" s="573" t="s">
        <v>668</v>
      </c>
    </row>
    <row r="621" spans="1:28" s="575" customFormat="1">
      <c r="A621" s="616"/>
      <c r="B621" s="591" t="s">
        <v>817</v>
      </c>
      <c r="C621" s="591"/>
      <c r="D621" s="617"/>
      <c r="E621" s="618"/>
      <c r="F621" s="619"/>
      <c r="G621" s="620"/>
      <c r="H621" s="622"/>
      <c r="I621" s="622"/>
      <c r="J621" s="623"/>
      <c r="K621" s="586"/>
      <c r="L621" s="586"/>
      <c r="M621" s="571"/>
      <c r="N621" s="577" t="s">
        <v>611</v>
      </c>
      <c r="O621" s="577" t="s">
        <v>611</v>
      </c>
      <c r="P621" s="577" t="s">
        <v>611</v>
      </c>
      <c r="Q621" s="572"/>
      <c r="R621" s="573"/>
      <c r="S621" s="574"/>
      <c r="T621" s="574"/>
      <c r="U621" s="574"/>
      <c r="V621" s="574"/>
      <c r="W621" s="574"/>
      <c r="X621" s="572"/>
      <c r="Y621" s="572"/>
      <c r="Z621" s="572"/>
      <c r="AB621" s="573" t="s">
        <v>668</v>
      </c>
    </row>
    <row r="622" spans="1:28" s="575" customFormat="1">
      <c r="A622" s="616"/>
      <c r="B622" s="576" t="s">
        <v>818</v>
      </c>
      <c r="C622" s="591"/>
      <c r="D622" s="617"/>
      <c r="E622" s="618">
        <f>9</f>
        <v>9</v>
      </c>
      <c r="F622" s="619"/>
      <c r="G622" s="620"/>
      <c r="H622" s="621"/>
      <c r="I622" s="622"/>
      <c r="J622" s="623"/>
      <c r="K622" s="586"/>
      <c r="L622" s="586"/>
      <c r="M622" s="571"/>
      <c r="N622" s="577" t="s">
        <v>611</v>
      </c>
      <c r="O622" s="577">
        <v>3</v>
      </c>
      <c r="P622" s="577" t="s">
        <v>611</v>
      </c>
      <c r="Q622" s="572"/>
      <c r="R622" s="573"/>
      <c r="S622" s="574"/>
      <c r="T622" s="574"/>
      <c r="U622" s="574"/>
      <c r="V622" s="574"/>
      <c r="W622" s="574"/>
      <c r="X622" s="572"/>
      <c r="Y622" s="572"/>
      <c r="Z622" s="572"/>
      <c r="AB622" s="573" t="s">
        <v>668</v>
      </c>
    </row>
    <row r="623" spans="1:28" s="575" customFormat="1">
      <c r="A623" s="616"/>
      <c r="B623" s="576" t="s">
        <v>819</v>
      </c>
      <c r="C623" s="591"/>
      <c r="D623" s="617"/>
      <c r="E623" s="618">
        <v>4.25</v>
      </c>
      <c r="F623" s="619"/>
      <c r="G623" s="620"/>
      <c r="H623" s="621"/>
      <c r="I623" s="622"/>
      <c r="J623" s="623"/>
      <c r="K623" s="586"/>
      <c r="L623" s="586"/>
      <c r="M623" s="571"/>
      <c r="N623" s="577" t="s">
        <v>611</v>
      </c>
      <c r="O623" s="577">
        <v>3</v>
      </c>
      <c r="P623" s="577" t="s">
        <v>611</v>
      </c>
      <c r="Q623" s="572"/>
      <c r="R623" s="573"/>
      <c r="S623" s="574"/>
      <c r="T623" s="574"/>
      <c r="U623" s="574"/>
      <c r="V623" s="574"/>
      <c r="W623" s="574"/>
      <c r="X623" s="572"/>
      <c r="Y623" s="572"/>
      <c r="Z623" s="572"/>
      <c r="AB623" s="573" t="s">
        <v>668</v>
      </c>
    </row>
    <row r="624" spans="1:28" s="575" customFormat="1">
      <c r="A624" s="616"/>
      <c r="B624" s="576" t="s">
        <v>820</v>
      </c>
      <c r="C624" s="591"/>
      <c r="D624" s="617"/>
      <c r="E624" s="618">
        <f>6.3+0.05</f>
        <v>6.35</v>
      </c>
      <c r="F624" s="619"/>
      <c r="G624" s="620"/>
      <c r="H624" s="621"/>
      <c r="I624" s="622"/>
      <c r="J624" s="623"/>
      <c r="K624" s="586"/>
      <c r="L624" s="586"/>
      <c r="M624" s="571"/>
      <c r="N624" s="577" t="s">
        <v>611</v>
      </c>
      <c r="O624" s="577">
        <v>3</v>
      </c>
      <c r="P624" s="577" t="s">
        <v>611</v>
      </c>
      <c r="Q624" s="572"/>
      <c r="R624" s="573"/>
      <c r="S624" s="574"/>
      <c r="T624" s="574"/>
      <c r="U624" s="574"/>
      <c r="V624" s="574"/>
      <c r="W624" s="574"/>
      <c r="X624" s="572"/>
      <c r="Y624" s="572"/>
      <c r="Z624" s="572"/>
      <c r="AB624" s="573" t="s">
        <v>668</v>
      </c>
    </row>
    <row r="625" spans="1:28" s="575" customFormat="1">
      <c r="A625" s="616"/>
      <c r="B625" s="576" t="s">
        <v>821</v>
      </c>
      <c r="C625" s="591"/>
      <c r="D625" s="617"/>
      <c r="E625" s="618">
        <f>2.1-0.4</f>
        <v>1.7000000000000002</v>
      </c>
      <c r="F625" s="619"/>
      <c r="G625" s="620"/>
      <c r="H625" s="621"/>
      <c r="I625" s="622"/>
      <c r="J625" s="623"/>
      <c r="K625" s="586"/>
      <c r="L625" s="586"/>
      <c r="M625" s="571"/>
      <c r="N625" s="577" t="s">
        <v>611</v>
      </c>
      <c r="O625" s="577">
        <v>3</v>
      </c>
      <c r="P625" s="577" t="s">
        <v>611</v>
      </c>
      <c r="Q625" s="572"/>
      <c r="R625" s="573"/>
      <c r="S625" s="574"/>
      <c r="T625" s="574"/>
      <c r="U625" s="574"/>
      <c r="V625" s="574"/>
      <c r="W625" s="574"/>
      <c r="X625" s="572"/>
      <c r="Y625" s="572"/>
      <c r="Z625" s="572"/>
      <c r="AB625" s="573" t="s">
        <v>668</v>
      </c>
    </row>
    <row r="626" spans="1:28" s="575" customFormat="1">
      <c r="A626" s="616"/>
      <c r="B626" s="576" t="s">
        <v>822</v>
      </c>
      <c r="C626" s="591"/>
      <c r="D626" s="617"/>
      <c r="E626" s="618">
        <v>52.7</v>
      </c>
      <c r="F626" s="619"/>
      <c r="G626" s="620"/>
      <c r="H626" s="621"/>
      <c r="I626" s="622"/>
      <c r="J626" s="623"/>
      <c r="K626" s="586"/>
      <c r="L626" s="586"/>
      <c r="M626" s="571"/>
      <c r="N626" s="577" t="s">
        <v>611</v>
      </c>
      <c r="O626" s="577">
        <v>3</v>
      </c>
      <c r="P626" s="577" t="s">
        <v>611</v>
      </c>
      <c r="Q626" s="572"/>
      <c r="R626" s="573"/>
      <c r="S626" s="574"/>
      <c r="T626" s="574"/>
      <c r="U626" s="574"/>
      <c r="V626" s="574"/>
      <c r="W626" s="574"/>
      <c r="X626" s="572"/>
      <c r="Y626" s="572"/>
      <c r="Z626" s="572"/>
      <c r="AB626" s="573" t="s">
        <v>668</v>
      </c>
    </row>
    <row r="627" spans="1:28" s="575" customFormat="1">
      <c r="A627" s="616"/>
      <c r="B627" s="576" t="s">
        <v>825</v>
      </c>
      <c r="C627" s="591"/>
      <c r="D627" s="617"/>
      <c r="E627" s="618">
        <v>14.1</v>
      </c>
      <c r="F627" s="619"/>
      <c r="G627" s="620"/>
      <c r="H627" s="621"/>
      <c r="I627" s="622"/>
      <c r="J627" s="623"/>
      <c r="K627" s="586"/>
      <c r="L627" s="586"/>
      <c r="M627" s="571"/>
      <c r="N627" s="577" t="s">
        <v>611</v>
      </c>
      <c r="O627" s="577">
        <v>3</v>
      </c>
      <c r="P627" s="577" t="s">
        <v>611</v>
      </c>
      <c r="Q627" s="572"/>
      <c r="R627" s="573"/>
      <c r="S627" s="574"/>
      <c r="T627" s="574"/>
      <c r="U627" s="574"/>
      <c r="V627" s="574"/>
      <c r="W627" s="574"/>
      <c r="X627" s="572"/>
      <c r="Y627" s="572"/>
      <c r="Z627" s="572"/>
      <c r="AB627" s="573" t="s">
        <v>668</v>
      </c>
    </row>
    <row r="628" spans="1:28" s="575" customFormat="1">
      <c r="A628" s="616"/>
      <c r="B628" s="576" t="s">
        <v>826</v>
      </c>
      <c r="C628" s="591"/>
      <c r="D628" s="617"/>
      <c r="E628" s="618">
        <v>25.4</v>
      </c>
      <c r="F628" s="619"/>
      <c r="G628" s="620"/>
      <c r="H628" s="621"/>
      <c r="I628" s="622"/>
      <c r="J628" s="623"/>
      <c r="K628" s="586"/>
      <c r="L628" s="586"/>
      <c r="M628" s="571"/>
      <c r="N628" s="577" t="s">
        <v>611</v>
      </c>
      <c r="O628" s="577">
        <v>3</v>
      </c>
      <c r="P628" s="577" t="s">
        <v>611</v>
      </c>
      <c r="Q628" s="572"/>
      <c r="R628" s="573"/>
      <c r="S628" s="574"/>
      <c r="T628" s="574"/>
      <c r="U628" s="574"/>
      <c r="V628" s="574"/>
      <c r="W628" s="574"/>
      <c r="X628" s="572"/>
      <c r="Y628" s="572"/>
      <c r="Z628" s="572"/>
      <c r="AB628" s="573" t="s">
        <v>668</v>
      </c>
    </row>
    <row r="629" spans="1:28" s="575" customFormat="1">
      <c r="A629" s="616"/>
      <c r="B629" s="576" t="s">
        <v>827</v>
      </c>
      <c r="C629" s="591"/>
      <c r="D629" s="617"/>
      <c r="E629" s="618">
        <v>27.7</v>
      </c>
      <c r="F629" s="619"/>
      <c r="G629" s="620"/>
      <c r="H629" s="621"/>
      <c r="I629" s="622"/>
      <c r="J629" s="623"/>
      <c r="K629" s="586"/>
      <c r="L629" s="586"/>
      <c r="M629" s="571"/>
      <c r="N629" s="577" t="s">
        <v>611</v>
      </c>
      <c r="O629" s="577">
        <v>3</v>
      </c>
      <c r="P629" s="577" t="s">
        <v>611</v>
      </c>
      <c r="Q629" s="572"/>
      <c r="R629" s="573"/>
      <c r="S629" s="574"/>
      <c r="T629" s="574"/>
      <c r="U629" s="574"/>
      <c r="V629" s="574"/>
      <c r="W629" s="574"/>
      <c r="X629" s="572"/>
      <c r="Y629" s="572"/>
      <c r="Z629" s="572"/>
      <c r="AB629" s="573" t="s">
        <v>668</v>
      </c>
    </row>
    <row r="630" spans="1:28" s="575" customFormat="1">
      <c r="A630" s="616"/>
      <c r="B630" s="576" t="s">
        <v>832</v>
      </c>
      <c r="C630" s="591"/>
      <c r="D630" s="617"/>
      <c r="E630" s="618">
        <v>8.65</v>
      </c>
      <c r="F630" s="619"/>
      <c r="G630" s="620"/>
      <c r="H630" s="621"/>
      <c r="I630" s="622"/>
      <c r="J630" s="623"/>
      <c r="K630" s="586"/>
      <c r="L630" s="586"/>
      <c r="M630" s="571"/>
      <c r="N630" s="577" t="s">
        <v>611</v>
      </c>
      <c r="O630" s="577">
        <v>3</v>
      </c>
      <c r="P630" s="577" t="s">
        <v>611</v>
      </c>
      <c r="Q630" s="572"/>
      <c r="R630" s="573"/>
      <c r="S630" s="574"/>
      <c r="T630" s="574"/>
      <c r="U630" s="574"/>
      <c r="V630" s="574"/>
      <c r="W630" s="574"/>
      <c r="X630" s="572"/>
      <c r="Y630" s="572"/>
      <c r="Z630" s="572"/>
      <c r="AB630" s="573" t="s">
        <v>668</v>
      </c>
    </row>
    <row r="631" spans="1:28" s="478" customFormat="1" ht="29.25" customHeight="1">
      <c r="A631" s="679" t="s">
        <v>1000</v>
      </c>
      <c r="B631" s="464" t="s">
        <v>683</v>
      </c>
      <c r="C631" s="464" t="s">
        <v>195</v>
      </c>
      <c r="D631" s="466"/>
      <c r="E631" s="467"/>
      <c r="F631" s="468"/>
      <c r="G631" s="469"/>
      <c r="H631" s="470"/>
      <c r="I631" s="470"/>
      <c r="J631" s="472"/>
      <c r="K631" s="473"/>
      <c r="L631" s="473"/>
      <c r="M631" s="474"/>
      <c r="N631" s="479"/>
      <c r="O631" s="479"/>
      <c r="P631" s="480"/>
      <c r="Q631" s="475"/>
      <c r="R631" s="476"/>
      <c r="S631" s="477"/>
      <c r="T631" s="477"/>
      <c r="U631" s="477"/>
      <c r="V631" s="477"/>
      <c r="W631" s="477"/>
      <c r="X631" s="475"/>
      <c r="Y631" s="475"/>
      <c r="Z631" s="475"/>
      <c r="AB631" s="476"/>
    </row>
    <row r="632" spans="1:28" s="575" customFormat="1">
      <c r="A632" s="616"/>
      <c r="B632" s="570" t="s">
        <v>669</v>
      </c>
      <c r="C632" s="591"/>
      <c r="D632" s="617"/>
      <c r="E632" s="618"/>
      <c r="F632" s="619"/>
      <c r="G632" s="620"/>
      <c r="H632" s="621"/>
      <c r="I632" s="622"/>
      <c r="J632" s="623"/>
      <c r="K632" s="586"/>
      <c r="L632" s="586"/>
      <c r="M632" s="571"/>
      <c r="N632" s="577" t="s">
        <v>611</v>
      </c>
      <c r="O632" s="577" t="s">
        <v>611</v>
      </c>
      <c r="P632" s="587" t="s">
        <v>611</v>
      </c>
      <c r="Q632" s="572"/>
      <c r="R632" s="573"/>
      <c r="S632" s="574"/>
      <c r="T632" s="574"/>
      <c r="U632" s="574"/>
      <c r="V632" s="574"/>
      <c r="W632" s="574"/>
      <c r="X632" s="572"/>
      <c r="Y632" s="572"/>
      <c r="Z632" s="572"/>
      <c r="AB632" s="573" t="s">
        <v>668</v>
      </c>
    </row>
    <row r="633" spans="1:28" s="575" customFormat="1">
      <c r="A633" s="616"/>
      <c r="B633" s="591" t="s">
        <v>666</v>
      </c>
      <c r="C633" s="591"/>
      <c r="D633" s="617"/>
      <c r="E633" s="618"/>
      <c r="F633" s="619"/>
      <c r="G633" s="620"/>
      <c r="H633" s="622"/>
      <c r="I633" s="622"/>
      <c r="J633" s="623"/>
      <c r="K633" s="586"/>
      <c r="L633" s="586"/>
      <c r="M633" s="571"/>
      <c r="N633" s="577" t="s">
        <v>611</v>
      </c>
      <c r="O633" s="577" t="s">
        <v>611</v>
      </c>
      <c r="P633" s="577" t="s">
        <v>611</v>
      </c>
      <c r="Q633" s="572"/>
      <c r="R633" s="573"/>
      <c r="S633" s="574"/>
      <c r="T633" s="574"/>
      <c r="U633" s="574"/>
      <c r="V633" s="574"/>
      <c r="W633" s="574"/>
      <c r="X633" s="572"/>
      <c r="Y633" s="572"/>
      <c r="Z633" s="572"/>
      <c r="AB633" s="573" t="s">
        <v>668</v>
      </c>
    </row>
    <row r="634" spans="1:28" s="575" customFormat="1">
      <c r="A634" s="616"/>
      <c r="B634" s="576" t="s">
        <v>676</v>
      </c>
      <c r="C634" s="591"/>
      <c r="D634" s="617"/>
      <c r="E634" s="618"/>
      <c r="F634" s="619"/>
      <c r="G634" s="620">
        <v>0.5</v>
      </c>
      <c r="H634" s="680">
        <v>915.49</v>
      </c>
      <c r="I634" s="680">
        <f t="shared" ref="I634" si="29">H634*G634</f>
        <v>457.745</v>
      </c>
      <c r="J634" s="623"/>
      <c r="K634" s="586"/>
      <c r="L634" s="586"/>
      <c r="M634" s="571"/>
      <c r="N634" s="588"/>
      <c r="O634" s="588"/>
      <c r="P634" s="589"/>
      <c r="Q634" s="572"/>
      <c r="R634" s="573"/>
      <c r="S634" s="574"/>
      <c r="T634" s="574"/>
      <c r="U634" s="574"/>
      <c r="V634" s="574"/>
      <c r="W634" s="574"/>
      <c r="X634" s="572"/>
      <c r="Y634" s="572"/>
      <c r="Z634" s="572"/>
      <c r="AB634" s="573"/>
    </row>
    <row r="635" spans="1:28" s="575" customFormat="1">
      <c r="A635" s="616"/>
      <c r="B635" s="576" t="s">
        <v>765</v>
      </c>
      <c r="C635" s="591"/>
      <c r="D635" s="617"/>
      <c r="E635" s="618"/>
      <c r="F635" s="619"/>
      <c r="G635" s="620">
        <v>0.5</v>
      </c>
      <c r="H635" s="680">
        <v>9.7899999999999991</v>
      </c>
      <c r="I635" s="680">
        <f>H635*G635</f>
        <v>4.8949999999999996</v>
      </c>
      <c r="J635" s="623"/>
      <c r="K635" s="586"/>
      <c r="L635" s="586"/>
      <c r="M635" s="571"/>
      <c r="N635" s="588"/>
      <c r="O635" s="588"/>
      <c r="P635" s="589"/>
      <c r="Q635" s="572"/>
      <c r="R635" s="573"/>
      <c r="S635" s="574"/>
      <c r="T635" s="574"/>
      <c r="U635" s="574"/>
      <c r="V635" s="574"/>
      <c r="W635" s="574"/>
      <c r="X635" s="572"/>
      <c r="Y635" s="572"/>
      <c r="Z635" s="572"/>
      <c r="AB635" s="573"/>
    </row>
    <row r="636" spans="1:28" s="575" customFormat="1">
      <c r="A636" s="616"/>
      <c r="B636" s="591" t="s">
        <v>674</v>
      </c>
      <c r="C636" s="591"/>
      <c r="D636" s="617"/>
      <c r="E636" s="618"/>
      <c r="F636" s="619"/>
      <c r="G636" s="620"/>
      <c r="H636" s="622"/>
      <c r="I636" s="622"/>
      <c r="J636" s="623"/>
      <c r="K636" s="586"/>
      <c r="L636" s="586"/>
      <c r="M636" s="571"/>
      <c r="N636" s="577" t="s">
        <v>611</v>
      </c>
      <c r="O636" s="577" t="s">
        <v>611</v>
      </c>
      <c r="P636" s="577" t="s">
        <v>611</v>
      </c>
      <c r="Q636" s="572"/>
      <c r="R636" s="573"/>
      <c r="S636" s="574"/>
      <c r="T636" s="574"/>
      <c r="U636" s="574"/>
      <c r="V636" s="574"/>
      <c r="W636" s="574"/>
      <c r="X636" s="572"/>
      <c r="Y636" s="572"/>
      <c r="Z636" s="572"/>
      <c r="AB636" s="573" t="s">
        <v>668</v>
      </c>
    </row>
    <row r="637" spans="1:28" s="575" customFormat="1">
      <c r="A637" s="616"/>
      <c r="B637" s="576" t="s">
        <v>766</v>
      </c>
      <c r="C637" s="591"/>
      <c r="D637" s="617"/>
      <c r="E637" s="618"/>
      <c r="F637" s="619"/>
      <c r="G637" s="620">
        <v>0.5</v>
      </c>
      <c r="H637" s="680">
        <v>2787.65</v>
      </c>
      <c r="I637" s="680">
        <f>H637*G637</f>
        <v>1393.825</v>
      </c>
      <c r="J637" s="623"/>
      <c r="K637" s="586"/>
      <c r="L637" s="586"/>
      <c r="M637" s="571"/>
      <c r="N637" s="588"/>
      <c r="O637" s="588"/>
      <c r="P637" s="589"/>
      <c r="Q637" s="572"/>
      <c r="R637" s="573"/>
      <c r="S637" s="574"/>
      <c r="T637" s="574"/>
      <c r="U637" s="574"/>
      <c r="V637" s="574"/>
      <c r="W637" s="574"/>
      <c r="X637" s="572"/>
      <c r="Y637" s="572"/>
      <c r="Z637" s="572"/>
      <c r="AB637" s="573"/>
    </row>
    <row r="638" spans="1:28" s="575" customFormat="1">
      <c r="A638" s="616"/>
      <c r="B638" s="576" t="s">
        <v>767</v>
      </c>
      <c r="C638" s="591"/>
      <c r="D638" s="617"/>
      <c r="E638" s="618"/>
      <c r="F638" s="619"/>
      <c r="G638" s="620">
        <v>0.5</v>
      </c>
      <c r="H638" s="680">
        <f>215.58+28.87+7.6</f>
        <v>252.05</v>
      </c>
      <c r="I638" s="680">
        <f t="shared" ref="I638:I643" si="30">H638*G638</f>
        <v>126.02500000000001</v>
      </c>
      <c r="J638" s="623"/>
      <c r="K638" s="586"/>
      <c r="L638" s="586"/>
      <c r="M638" s="571"/>
      <c r="N638" s="588"/>
      <c r="O638" s="588"/>
      <c r="P638" s="589"/>
      <c r="Q638" s="572"/>
      <c r="R638" s="573"/>
      <c r="S638" s="574"/>
      <c r="T638" s="574"/>
      <c r="U638" s="574"/>
      <c r="V638" s="574"/>
      <c r="W638" s="574"/>
      <c r="X638" s="572"/>
      <c r="Y638" s="572"/>
      <c r="Z638" s="572"/>
      <c r="AB638" s="573"/>
    </row>
    <row r="639" spans="1:28" s="575" customFormat="1">
      <c r="A639" s="616"/>
      <c r="B639" s="576" t="s">
        <v>768</v>
      </c>
      <c r="C639" s="591"/>
      <c r="D639" s="617"/>
      <c r="E639" s="618"/>
      <c r="F639" s="619"/>
      <c r="G639" s="620">
        <v>0.5</v>
      </c>
      <c r="H639" s="680">
        <f>446.54</f>
        <v>446.54</v>
      </c>
      <c r="I639" s="680">
        <f t="shared" si="30"/>
        <v>223.27</v>
      </c>
      <c r="J639" s="623"/>
      <c r="K639" s="586"/>
      <c r="L639" s="586"/>
      <c r="M639" s="571"/>
      <c r="N639" s="588"/>
      <c r="O639" s="588"/>
      <c r="P639" s="589"/>
      <c r="Q639" s="572"/>
      <c r="R639" s="573"/>
      <c r="S639" s="574"/>
      <c r="T639" s="574"/>
      <c r="U639" s="574"/>
      <c r="V639" s="574"/>
      <c r="W639" s="574"/>
      <c r="X639" s="572"/>
      <c r="Y639" s="572"/>
      <c r="Z639" s="572"/>
      <c r="AB639" s="573"/>
    </row>
    <row r="640" spans="1:28" s="575" customFormat="1">
      <c r="A640" s="616"/>
      <c r="B640" s="576" t="s">
        <v>769</v>
      </c>
      <c r="C640" s="591"/>
      <c r="D640" s="617"/>
      <c r="E640" s="618"/>
      <c r="F640" s="619"/>
      <c r="G640" s="620">
        <v>0.5</v>
      </c>
      <c r="H640" s="680">
        <f>298.82</f>
        <v>298.82</v>
      </c>
      <c r="I640" s="680">
        <f t="shared" si="30"/>
        <v>149.41</v>
      </c>
      <c r="J640" s="623"/>
      <c r="K640" s="586"/>
      <c r="L640" s="586"/>
      <c r="M640" s="571"/>
      <c r="N640" s="588"/>
      <c r="O640" s="588"/>
      <c r="P640" s="589"/>
      <c r="Q640" s="572"/>
      <c r="R640" s="573"/>
      <c r="S640" s="574"/>
      <c r="T640" s="574"/>
      <c r="U640" s="574"/>
      <c r="V640" s="574"/>
      <c r="W640" s="574"/>
      <c r="X640" s="572"/>
      <c r="Y640" s="572"/>
      <c r="Z640" s="572"/>
      <c r="AB640" s="573"/>
    </row>
    <row r="641" spans="1:28" s="575" customFormat="1">
      <c r="A641" s="616"/>
      <c r="B641" s="576" t="s">
        <v>770</v>
      </c>
      <c r="C641" s="591"/>
      <c r="D641" s="617"/>
      <c r="E641" s="618"/>
      <c r="F641" s="619"/>
      <c r="G641" s="620">
        <v>0.5</v>
      </c>
      <c r="H641" s="680">
        <v>10.130000000000001</v>
      </c>
      <c r="I641" s="680">
        <f t="shared" si="30"/>
        <v>5.0650000000000004</v>
      </c>
      <c r="J641" s="623"/>
      <c r="K641" s="586"/>
      <c r="L641" s="586"/>
      <c r="M641" s="571"/>
      <c r="N641" s="588"/>
      <c r="O641" s="588"/>
      <c r="P641" s="589"/>
      <c r="Q641" s="572"/>
      <c r="R641" s="573"/>
      <c r="S641" s="574"/>
      <c r="T641" s="574"/>
      <c r="U641" s="574"/>
      <c r="V641" s="574"/>
      <c r="W641" s="574"/>
      <c r="X641" s="572"/>
      <c r="Y641" s="572"/>
      <c r="Z641" s="572"/>
      <c r="AB641" s="573"/>
    </row>
    <row r="642" spans="1:28" s="575" customFormat="1">
      <c r="A642" s="616"/>
      <c r="B642" s="576" t="s">
        <v>771</v>
      </c>
      <c r="C642" s="591"/>
      <c r="D642" s="617"/>
      <c r="E642" s="618"/>
      <c r="F642" s="619"/>
      <c r="G642" s="620">
        <v>0.5</v>
      </c>
      <c r="H642" s="680">
        <f>8.63+5.74+6.33</f>
        <v>20.700000000000003</v>
      </c>
      <c r="I642" s="680">
        <f t="shared" si="30"/>
        <v>10.350000000000001</v>
      </c>
      <c r="J642" s="623"/>
      <c r="K642" s="586"/>
      <c r="L642" s="586"/>
      <c r="M642" s="571"/>
      <c r="N642" s="588"/>
      <c r="O642" s="588"/>
      <c r="P642" s="589"/>
      <c r="Q642" s="572"/>
      <c r="R642" s="573"/>
      <c r="S642" s="574"/>
      <c r="T642" s="574"/>
      <c r="U642" s="574"/>
      <c r="V642" s="574"/>
      <c r="W642" s="574"/>
      <c r="X642" s="572"/>
      <c r="Y642" s="572"/>
      <c r="Z642" s="572"/>
      <c r="AB642" s="573"/>
    </row>
    <row r="643" spans="1:28" s="575" customFormat="1">
      <c r="A643" s="616"/>
      <c r="B643" s="576" t="s">
        <v>755</v>
      </c>
      <c r="C643" s="591"/>
      <c r="D643" s="617"/>
      <c r="E643" s="618"/>
      <c r="F643" s="619"/>
      <c r="G643" s="620">
        <v>0.5</v>
      </c>
      <c r="H643" s="680">
        <f t="shared" ref="H643" si="31">213.5+1171.21</f>
        <v>1384.71</v>
      </c>
      <c r="I643" s="680">
        <f t="shared" si="30"/>
        <v>692.35500000000002</v>
      </c>
      <c r="J643" s="623"/>
      <c r="K643" s="586"/>
      <c r="L643" s="586"/>
      <c r="M643" s="571"/>
      <c r="N643" s="588"/>
      <c r="O643" s="588"/>
      <c r="P643" s="589"/>
      <c r="Q643" s="572"/>
      <c r="R643" s="573"/>
      <c r="S643" s="574"/>
      <c r="T643" s="574"/>
      <c r="U643" s="574"/>
      <c r="V643" s="574"/>
      <c r="W643" s="574"/>
      <c r="X643" s="572"/>
      <c r="Y643" s="572"/>
      <c r="Z643" s="572"/>
      <c r="AB643" s="573"/>
    </row>
    <row r="644" spans="1:28" s="575" customFormat="1">
      <c r="A644" s="616"/>
      <c r="B644" s="576"/>
      <c r="C644" s="591"/>
      <c r="D644" s="617"/>
      <c r="E644" s="618"/>
      <c r="F644" s="619"/>
      <c r="G644" s="620"/>
      <c r="H644" s="680"/>
      <c r="I644" s="680"/>
      <c r="J644" s="623"/>
      <c r="K644" s="586"/>
      <c r="L644" s="586"/>
      <c r="M644" s="571"/>
      <c r="N644" s="588"/>
      <c r="O644" s="588"/>
      <c r="P644" s="589"/>
      <c r="Q644" s="572"/>
      <c r="R644" s="573"/>
      <c r="S644" s="574"/>
      <c r="T644" s="574"/>
      <c r="U644" s="574"/>
      <c r="V644" s="574"/>
      <c r="W644" s="574"/>
      <c r="X644" s="572"/>
      <c r="Y644" s="572"/>
      <c r="Z644" s="572"/>
      <c r="AB644" s="573"/>
    </row>
    <row r="645" spans="1:28" s="575" customFormat="1">
      <c r="A645" s="616"/>
      <c r="B645" s="576"/>
      <c r="C645" s="591"/>
      <c r="D645" s="617"/>
      <c r="E645" s="618"/>
      <c r="F645" s="619"/>
      <c r="G645" s="620"/>
      <c r="H645" s="680"/>
      <c r="I645" s="621"/>
      <c r="J645" s="623"/>
      <c r="K645" s="586"/>
      <c r="L645" s="586"/>
      <c r="M645" s="571"/>
      <c r="N645" s="588"/>
      <c r="O645" s="588"/>
      <c r="P645" s="589"/>
      <c r="Q645" s="572"/>
      <c r="R645" s="573"/>
      <c r="S645" s="574"/>
      <c r="T645" s="574"/>
      <c r="U645" s="574"/>
      <c r="V645" s="574"/>
      <c r="W645" s="574"/>
      <c r="X645" s="572"/>
      <c r="Y645" s="572"/>
      <c r="Z645" s="572"/>
      <c r="AB645" s="573"/>
    </row>
    <row r="646" spans="1:28" s="575" customFormat="1">
      <c r="A646" s="616"/>
      <c r="B646" s="576"/>
      <c r="C646" s="591"/>
      <c r="D646" s="617"/>
      <c r="E646" s="618"/>
      <c r="F646" s="619"/>
      <c r="G646" s="620"/>
      <c r="H646" s="621"/>
      <c r="I646" s="621"/>
      <c r="J646" s="623"/>
      <c r="K646" s="586"/>
      <c r="L646" s="586"/>
      <c r="M646" s="571"/>
      <c r="N646" s="588"/>
      <c r="O646" s="588"/>
      <c r="P646" s="589"/>
      <c r="Q646" s="572"/>
      <c r="R646" s="573"/>
      <c r="S646" s="574"/>
      <c r="T646" s="574"/>
      <c r="U646" s="574"/>
      <c r="V646" s="574"/>
      <c r="W646" s="574"/>
      <c r="X646" s="572"/>
      <c r="Y646" s="572"/>
      <c r="Z646" s="572"/>
      <c r="AB646" s="573"/>
    </row>
    <row r="647" spans="1:28" s="478" customFormat="1" ht="29.25" customHeight="1">
      <c r="A647" s="463" t="s">
        <v>1001</v>
      </c>
      <c r="B647" s="464" t="s">
        <v>1002</v>
      </c>
      <c r="C647" s="464" t="s">
        <v>195</v>
      </c>
      <c r="D647" s="466"/>
      <c r="E647" s="467"/>
      <c r="F647" s="468"/>
      <c r="G647" s="469"/>
      <c r="H647" s="470"/>
      <c r="I647" s="470"/>
      <c r="J647" s="472"/>
      <c r="K647" s="473"/>
      <c r="L647" s="473"/>
      <c r="M647" s="474"/>
      <c r="N647" s="479"/>
      <c r="O647" s="479"/>
      <c r="P647" s="480"/>
      <c r="Q647" s="475"/>
      <c r="R647" s="476"/>
      <c r="S647" s="477"/>
      <c r="T647" s="477"/>
      <c r="U647" s="477"/>
      <c r="V647" s="477"/>
      <c r="W647" s="477"/>
      <c r="X647" s="475"/>
      <c r="Y647" s="475"/>
      <c r="Z647" s="475"/>
      <c r="AB647" s="476"/>
    </row>
    <row r="648" spans="1:28" s="575" customFormat="1">
      <c r="A648" s="616"/>
      <c r="B648" s="570" t="s">
        <v>669</v>
      </c>
      <c r="C648" s="591"/>
      <c r="D648" s="617"/>
      <c r="E648" s="618"/>
      <c r="F648" s="619"/>
      <c r="G648" s="620"/>
      <c r="H648" s="621"/>
      <c r="I648" s="622"/>
      <c r="J648" s="623"/>
      <c r="K648" s="586"/>
      <c r="L648" s="586"/>
      <c r="M648" s="571"/>
      <c r="N648" s="577" t="s">
        <v>611</v>
      </c>
      <c r="O648" s="577" t="s">
        <v>611</v>
      </c>
      <c r="P648" s="587" t="s">
        <v>611</v>
      </c>
      <c r="Q648" s="572"/>
      <c r="R648" s="573"/>
      <c r="S648" s="574"/>
      <c r="T648" s="574"/>
      <c r="U648" s="574"/>
      <c r="V648" s="574"/>
      <c r="W648" s="574"/>
      <c r="X648" s="572"/>
      <c r="Y648" s="572"/>
      <c r="Z648" s="572"/>
      <c r="AB648" s="573" t="s">
        <v>668</v>
      </c>
    </row>
    <row r="649" spans="1:28" s="575" customFormat="1">
      <c r="A649" s="616"/>
      <c r="B649" s="591" t="s">
        <v>666</v>
      </c>
      <c r="C649" s="591"/>
      <c r="D649" s="617"/>
      <c r="E649" s="618"/>
      <c r="F649" s="619"/>
      <c r="G649" s="620"/>
      <c r="H649" s="622"/>
      <c r="I649" s="622"/>
      <c r="J649" s="623"/>
      <c r="K649" s="586"/>
      <c r="L649" s="586"/>
      <c r="M649" s="571"/>
      <c r="N649" s="577" t="s">
        <v>611</v>
      </c>
      <c r="O649" s="577" t="s">
        <v>611</v>
      </c>
      <c r="P649" s="577" t="s">
        <v>611</v>
      </c>
      <c r="Q649" s="572"/>
      <c r="R649" s="573"/>
      <c r="S649" s="574"/>
      <c r="T649" s="574"/>
      <c r="U649" s="574"/>
      <c r="V649" s="574"/>
      <c r="W649" s="574"/>
      <c r="X649" s="572"/>
      <c r="Y649" s="572"/>
      <c r="Z649" s="572"/>
      <c r="AB649" s="573" t="s">
        <v>668</v>
      </c>
    </row>
    <row r="650" spans="1:28" s="575" customFormat="1">
      <c r="A650" s="616"/>
      <c r="B650" s="576" t="s">
        <v>975</v>
      </c>
      <c r="C650" s="591"/>
      <c r="D650" s="617">
        <v>1</v>
      </c>
      <c r="E650" s="618">
        <f>0.66+0.31+0.38+0.07</f>
        <v>1.4200000000000002</v>
      </c>
      <c r="F650" s="619"/>
      <c r="G650" s="620">
        <v>2</v>
      </c>
      <c r="H650" s="621">
        <f t="shared" ref="H650:H658" si="32">G650*E650*D650</f>
        <v>2.8400000000000003</v>
      </c>
      <c r="I650" s="621"/>
      <c r="J650" s="623"/>
      <c r="K650" s="586"/>
      <c r="L650" s="586"/>
      <c r="M650" s="571"/>
      <c r="N650" s="588"/>
      <c r="O650" s="588"/>
      <c r="P650" s="589"/>
      <c r="Q650" s="572"/>
      <c r="R650" s="573"/>
      <c r="S650" s="574"/>
      <c r="T650" s="574"/>
      <c r="U650" s="574"/>
      <c r="V650" s="574"/>
      <c r="W650" s="574"/>
      <c r="X650" s="572"/>
      <c r="Y650" s="572"/>
      <c r="Z650" s="572"/>
      <c r="AB650" s="573"/>
    </row>
    <row r="651" spans="1:28" s="575" customFormat="1">
      <c r="A651" s="616"/>
      <c r="B651" s="576" t="s">
        <v>976</v>
      </c>
      <c r="C651" s="591"/>
      <c r="D651" s="617">
        <v>1</v>
      </c>
      <c r="E651" s="618">
        <f>1.42+0.03+1.21+1.21</f>
        <v>3.87</v>
      </c>
      <c r="F651" s="619"/>
      <c r="G651" s="620">
        <v>2</v>
      </c>
      <c r="H651" s="621">
        <f t="shared" si="32"/>
        <v>7.74</v>
      </c>
      <c r="I651" s="621"/>
      <c r="J651" s="623"/>
      <c r="K651" s="586"/>
      <c r="L651" s="586"/>
      <c r="M651" s="571"/>
      <c r="N651" s="588"/>
      <c r="O651" s="588"/>
      <c r="P651" s="589"/>
      <c r="Q651" s="572"/>
      <c r="R651" s="573"/>
      <c r="S651" s="574"/>
      <c r="T651" s="574"/>
      <c r="U651" s="574"/>
      <c r="V651" s="574"/>
      <c r="W651" s="574"/>
      <c r="X651" s="572"/>
      <c r="Y651" s="572"/>
      <c r="Z651" s="572"/>
      <c r="AB651" s="573"/>
    </row>
    <row r="652" spans="1:28" s="575" customFormat="1">
      <c r="A652" s="616"/>
      <c r="B652" s="576" t="s">
        <v>977</v>
      </c>
      <c r="C652" s="591"/>
      <c r="D652" s="617">
        <v>1</v>
      </c>
      <c r="E652" s="618">
        <f>0.31+0.38+0.07</f>
        <v>0.76</v>
      </c>
      <c r="F652" s="619"/>
      <c r="G652" s="620">
        <v>2</v>
      </c>
      <c r="H652" s="621">
        <f t="shared" si="32"/>
        <v>1.52</v>
      </c>
      <c r="I652" s="621"/>
      <c r="J652" s="623"/>
      <c r="K652" s="586"/>
      <c r="L652" s="586"/>
      <c r="M652" s="571"/>
      <c r="N652" s="588"/>
      <c r="O652" s="588"/>
      <c r="P652" s="589"/>
      <c r="Q652" s="572"/>
      <c r="R652" s="573"/>
      <c r="S652" s="574"/>
      <c r="T652" s="574"/>
      <c r="U652" s="574"/>
      <c r="V652" s="574"/>
      <c r="W652" s="574"/>
      <c r="X652" s="572"/>
      <c r="Y652" s="572"/>
      <c r="Z652" s="572"/>
      <c r="AB652" s="573"/>
    </row>
    <row r="653" spans="1:28" s="575" customFormat="1">
      <c r="A653" s="616"/>
      <c r="B653" s="576" t="s">
        <v>978</v>
      </c>
      <c r="C653" s="591"/>
      <c r="D653" s="617">
        <v>1</v>
      </c>
      <c r="E653" s="618">
        <f>1.42+0.03+1.21+1.21</f>
        <v>3.87</v>
      </c>
      <c r="F653" s="619"/>
      <c r="G653" s="620">
        <v>2</v>
      </c>
      <c r="H653" s="621">
        <f t="shared" si="32"/>
        <v>7.74</v>
      </c>
      <c r="I653" s="621"/>
      <c r="J653" s="623"/>
      <c r="K653" s="586"/>
      <c r="L653" s="586"/>
      <c r="M653" s="571"/>
      <c r="N653" s="588"/>
      <c r="O653" s="588"/>
      <c r="P653" s="589"/>
      <c r="Q653" s="572"/>
      <c r="R653" s="573"/>
      <c r="S653" s="574"/>
      <c r="T653" s="574"/>
      <c r="U653" s="574"/>
      <c r="V653" s="574"/>
      <c r="W653" s="574"/>
      <c r="X653" s="572"/>
      <c r="Y653" s="572"/>
      <c r="Z653" s="572"/>
      <c r="AB653" s="573"/>
    </row>
    <row r="654" spans="1:28" s="575" customFormat="1">
      <c r="A654" s="616"/>
      <c r="B654" s="576" t="s">
        <v>979</v>
      </c>
      <c r="C654" s="591"/>
      <c r="D654" s="617">
        <v>1</v>
      </c>
      <c r="E654" s="618">
        <f>0.27+0.38+0.38+0.07+0.97</f>
        <v>2.0700000000000003</v>
      </c>
      <c r="F654" s="619"/>
      <c r="G654" s="620">
        <v>2</v>
      </c>
      <c r="H654" s="621">
        <f t="shared" si="32"/>
        <v>4.1400000000000006</v>
      </c>
      <c r="I654" s="621"/>
      <c r="J654" s="623"/>
      <c r="K654" s="586"/>
      <c r="L654" s="586"/>
      <c r="M654" s="571"/>
      <c r="N654" s="588"/>
      <c r="O654" s="588"/>
      <c r="P654" s="589"/>
      <c r="Q654" s="572"/>
      <c r="R654" s="573"/>
      <c r="S654" s="574"/>
      <c r="T654" s="574"/>
      <c r="U654" s="574"/>
      <c r="V654" s="574"/>
      <c r="W654" s="574"/>
      <c r="X654" s="572"/>
      <c r="Y654" s="572"/>
      <c r="Z654" s="572"/>
      <c r="AB654" s="573"/>
    </row>
    <row r="655" spans="1:28" s="575" customFormat="1">
      <c r="A655" s="616"/>
      <c r="B655" s="576" t="s">
        <v>980</v>
      </c>
      <c r="C655" s="591"/>
      <c r="D655" s="617">
        <v>1</v>
      </c>
      <c r="E655" s="618">
        <f>1.1+1.31+1.21+1.21</f>
        <v>4.83</v>
      </c>
      <c r="F655" s="619"/>
      <c r="G655" s="620">
        <v>2</v>
      </c>
      <c r="H655" s="621">
        <f t="shared" si="32"/>
        <v>9.66</v>
      </c>
      <c r="I655" s="621"/>
      <c r="J655" s="623"/>
      <c r="K655" s="586"/>
      <c r="L655" s="586"/>
      <c r="M655" s="571"/>
      <c r="N655" s="588"/>
      <c r="O655" s="588"/>
      <c r="P655" s="589"/>
      <c r="Q655" s="572"/>
      <c r="R655" s="573"/>
      <c r="S655" s="574"/>
      <c r="T655" s="574"/>
      <c r="U655" s="574"/>
      <c r="V655" s="574"/>
      <c r="W655" s="574"/>
      <c r="X655" s="572"/>
      <c r="Y655" s="572"/>
      <c r="Z655" s="572"/>
      <c r="AB655" s="573"/>
    </row>
    <row r="656" spans="1:28" s="575" customFormat="1">
      <c r="A656" s="616"/>
      <c r="B656" s="576" t="s">
        <v>981</v>
      </c>
      <c r="C656" s="591"/>
      <c r="D656" s="617">
        <v>1</v>
      </c>
      <c r="E656" s="618">
        <f>0.51+0.38+0.38+0.38+0.36+0.04+0.97</f>
        <v>3.0199999999999996</v>
      </c>
      <c r="F656" s="619"/>
      <c r="G656" s="620">
        <v>2</v>
      </c>
      <c r="H656" s="621">
        <f t="shared" si="32"/>
        <v>6.0399999999999991</v>
      </c>
      <c r="I656" s="621"/>
      <c r="J656" s="623"/>
      <c r="K656" s="586"/>
      <c r="L656" s="586"/>
      <c r="M656" s="571"/>
      <c r="N656" s="588"/>
      <c r="O656" s="588"/>
      <c r="P656" s="589"/>
      <c r="Q656" s="572"/>
      <c r="R656" s="573"/>
      <c r="S656" s="574"/>
      <c r="T656" s="574"/>
      <c r="U656" s="574"/>
      <c r="V656" s="574"/>
      <c r="W656" s="574"/>
      <c r="X656" s="572"/>
      <c r="Y656" s="572"/>
      <c r="Z656" s="572"/>
      <c r="AB656" s="573"/>
    </row>
    <row r="657" spans="1:28" s="575" customFormat="1">
      <c r="A657" s="616"/>
      <c r="B657" s="576" t="s">
        <v>982</v>
      </c>
      <c r="C657" s="591"/>
      <c r="D657" s="617">
        <v>1</v>
      </c>
      <c r="E657" s="618">
        <f>(1.21*4)+1.31+1</f>
        <v>7.15</v>
      </c>
      <c r="F657" s="619"/>
      <c r="G657" s="620">
        <v>2</v>
      </c>
      <c r="H657" s="621">
        <f t="shared" si="32"/>
        <v>14.3</v>
      </c>
      <c r="I657" s="621"/>
      <c r="J657" s="623"/>
      <c r="K657" s="586"/>
      <c r="L657" s="586"/>
      <c r="M657" s="571"/>
      <c r="N657" s="588"/>
      <c r="O657" s="588"/>
      <c r="P657" s="589"/>
      <c r="Q657" s="572"/>
      <c r="R657" s="573"/>
      <c r="S657" s="574"/>
      <c r="T657" s="574"/>
      <c r="U657" s="574"/>
      <c r="V657" s="574"/>
      <c r="W657" s="574"/>
      <c r="X657" s="572"/>
      <c r="Y657" s="572"/>
      <c r="Z657" s="572"/>
      <c r="AB657" s="573"/>
    </row>
    <row r="658" spans="1:28" s="575" customFormat="1">
      <c r="A658" s="616"/>
      <c r="B658" s="576" t="s">
        <v>983</v>
      </c>
      <c r="C658" s="591"/>
      <c r="D658" s="617">
        <v>3</v>
      </c>
      <c r="E658" s="618">
        <v>0.4</v>
      </c>
      <c r="F658" s="619"/>
      <c r="G658" s="620">
        <v>0.9</v>
      </c>
      <c r="H658" s="621">
        <f t="shared" si="32"/>
        <v>1.08</v>
      </c>
      <c r="I658" s="621"/>
      <c r="J658" s="623"/>
      <c r="K658" s="586"/>
      <c r="L658" s="586"/>
      <c r="M658" s="571"/>
      <c r="N658" s="588"/>
      <c r="O658" s="588"/>
      <c r="P658" s="589"/>
      <c r="Q658" s="572"/>
      <c r="R658" s="573"/>
      <c r="S658" s="574"/>
      <c r="T658" s="574"/>
      <c r="U658" s="574"/>
      <c r="V658" s="574"/>
      <c r="W658" s="574"/>
      <c r="X658" s="572"/>
      <c r="Y658" s="572"/>
      <c r="Z658" s="572"/>
      <c r="AB658" s="573"/>
    </row>
    <row r="659" spans="1:28" s="575" customFormat="1">
      <c r="A659" s="616"/>
      <c r="B659" s="576"/>
      <c r="C659" s="591"/>
      <c r="D659" s="617"/>
      <c r="E659" s="618"/>
      <c r="F659" s="619"/>
      <c r="G659" s="620"/>
      <c r="H659" s="621"/>
      <c r="I659" s="621"/>
      <c r="J659" s="623"/>
      <c r="K659" s="586"/>
      <c r="L659" s="586"/>
      <c r="M659" s="571"/>
      <c r="N659" s="588"/>
      <c r="O659" s="588"/>
      <c r="P659" s="589"/>
      <c r="Q659" s="572"/>
      <c r="R659" s="573"/>
      <c r="S659" s="574"/>
      <c r="T659" s="574"/>
      <c r="U659" s="574"/>
      <c r="V659" s="574"/>
      <c r="W659" s="574"/>
      <c r="X659" s="572"/>
      <c r="Y659" s="572"/>
      <c r="Z659" s="572"/>
      <c r="AB659" s="573"/>
    </row>
    <row r="660" spans="1:28" s="575" customFormat="1">
      <c r="A660" s="616"/>
      <c r="B660" s="576"/>
      <c r="C660" s="591"/>
      <c r="D660" s="617"/>
      <c r="E660" s="618"/>
      <c r="F660" s="619"/>
      <c r="G660" s="620"/>
      <c r="H660" s="621"/>
      <c r="I660" s="621"/>
      <c r="J660" s="623"/>
      <c r="K660" s="586"/>
      <c r="L660" s="586"/>
      <c r="M660" s="571"/>
      <c r="N660" s="588"/>
      <c r="O660" s="588"/>
      <c r="P660" s="589"/>
      <c r="Q660" s="572"/>
      <c r="R660" s="573"/>
      <c r="S660" s="574"/>
      <c r="T660" s="574"/>
      <c r="U660" s="574"/>
      <c r="V660" s="574"/>
      <c r="W660" s="574"/>
      <c r="X660" s="572"/>
      <c r="Y660" s="572"/>
      <c r="Z660" s="572"/>
      <c r="AB660" s="573"/>
    </row>
    <row r="661" spans="1:28" s="478" customFormat="1" ht="29.25" customHeight="1">
      <c r="A661" s="679" t="s">
        <v>1003</v>
      </c>
      <c r="B661" s="464" t="s">
        <v>1004</v>
      </c>
      <c r="C661" s="464" t="s">
        <v>195</v>
      </c>
      <c r="D661" s="466"/>
      <c r="E661" s="467"/>
      <c r="F661" s="468"/>
      <c r="G661" s="469"/>
      <c r="H661" s="470"/>
      <c r="I661" s="470"/>
      <c r="J661" s="472"/>
      <c r="K661" s="473"/>
      <c r="L661" s="473"/>
      <c r="M661" s="474"/>
      <c r="N661" s="479"/>
      <c r="O661" s="479"/>
      <c r="P661" s="480"/>
      <c r="Q661" s="475"/>
      <c r="R661" s="476"/>
      <c r="S661" s="477"/>
      <c r="T661" s="477"/>
      <c r="U661" s="477"/>
      <c r="V661" s="477"/>
      <c r="W661" s="477"/>
      <c r="X661" s="475"/>
      <c r="Y661" s="475"/>
      <c r="Z661" s="475"/>
      <c r="AB661" s="476"/>
    </row>
    <row r="662" spans="1:28" s="575" customFormat="1">
      <c r="A662" s="616"/>
      <c r="B662" s="570" t="s">
        <v>55</v>
      </c>
      <c r="C662" s="591"/>
      <c r="D662" s="617"/>
      <c r="E662" s="618"/>
      <c r="F662" s="619"/>
      <c r="G662" s="620"/>
      <c r="H662" s="621"/>
      <c r="I662" s="622"/>
      <c r="J662" s="623"/>
      <c r="K662" s="586"/>
      <c r="L662" s="586"/>
      <c r="M662" s="571"/>
      <c r="N662" s="577" t="s">
        <v>611</v>
      </c>
      <c r="O662" s="577" t="s">
        <v>611</v>
      </c>
      <c r="P662" s="587" t="s">
        <v>611</v>
      </c>
      <c r="Q662" s="572"/>
      <c r="R662" s="573"/>
      <c r="S662" s="574"/>
      <c r="T662" s="574"/>
      <c r="U662" s="574"/>
      <c r="V662" s="574"/>
      <c r="W662" s="574"/>
      <c r="X662" s="572"/>
      <c r="Y662" s="572"/>
      <c r="Z662" s="572"/>
      <c r="AB662" s="573" t="s">
        <v>668</v>
      </c>
    </row>
    <row r="663" spans="1:28" s="575" customFormat="1">
      <c r="A663" s="616"/>
      <c r="B663" s="570" t="s">
        <v>669</v>
      </c>
      <c r="C663" s="591"/>
      <c r="D663" s="617"/>
      <c r="E663" s="618"/>
      <c r="F663" s="619"/>
      <c r="G663" s="620"/>
      <c r="H663" s="621"/>
      <c r="I663" s="622"/>
      <c r="J663" s="623"/>
      <c r="K663" s="586"/>
      <c r="L663" s="586"/>
      <c r="M663" s="571"/>
      <c r="N663" s="577" t="s">
        <v>611</v>
      </c>
      <c r="O663" s="577" t="s">
        <v>611</v>
      </c>
      <c r="P663" s="587" t="s">
        <v>611</v>
      </c>
      <c r="Q663" s="572"/>
      <c r="R663" s="573"/>
      <c r="S663" s="574"/>
      <c r="T663" s="574"/>
      <c r="U663" s="574"/>
      <c r="V663" s="574"/>
      <c r="W663" s="574"/>
      <c r="X663" s="572"/>
      <c r="Y663" s="572"/>
      <c r="Z663" s="572"/>
      <c r="AB663" s="573" t="s">
        <v>668</v>
      </c>
    </row>
    <row r="664" spans="1:28" s="575" customFormat="1">
      <c r="A664" s="616"/>
      <c r="B664" s="591" t="s">
        <v>635</v>
      </c>
      <c r="C664" s="591"/>
      <c r="D664" s="617"/>
      <c r="E664" s="618"/>
      <c r="F664" s="619"/>
      <c r="G664" s="620"/>
      <c r="H664" s="621"/>
      <c r="I664" s="621"/>
      <c r="J664" s="623"/>
      <c r="K664" s="586"/>
      <c r="L664" s="586"/>
      <c r="M664" s="571"/>
      <c r="N664" s="588"/>
      <c r="O664" s="588"/>
      <c r="P664" s="589"/>
      <c r="Q664" s="572"/>
      <c r="R664" s="573"/>
      <c r="S664" s="574"/>
      <c r="T664" s="574"/>
      <c r="U664" s="574"/>
      <c r="V664" s="574"/>
      <c r="W664" s="574"/>
      <c r="X664" s="572"/>
      <c r="Y664" s="572"/>
      <c r="Z664" s="572"/>
      <c r="AB664" s="573"/>
    </row>
    <row r="665" spans="1:28" s="575" customFormat="1">
      <c r="A665" s="616"/>
      <c r="B665" s="576" t="s">
        <v>908</v>
      </c>
      <c r="C665" s="591"/>
      <c r="D665" s="617"/>
      <c r="E665" s="618"/>
      <c r="F665" s="619"/>
      <c r="G665" s="620"/>
      <c r="H665" s="621">
        <v>748.32</v>
      </c>
      <c r="I665" s="621"/>
      <c r="J665" s="623"/>
      <c r="K665" s="586"/>
      <c r="L665" s="586"/>
      <c r="M665" s="571"/>
      <c r="N665" s="588"/>
      <c r="O665" s="588"/>
      <c r="P665" s="589"/>
      <c r="Q665" s="572"/>
      <c r="R665" s="573"/>
      <c r="S665" s="574"/>
      <c r="T665" s="574"/>
      <c r="U665" s="574"/>
      <c r="V665" s="574"/>
      <c r="W665" s="574"/>
      <c r="X665" s="572"/>
      <c r="Y665" s="572"/>
      <c r="Z665" s="572"/>
      <c r="AB665" s="573"/>
    </row>
    <row r="666" spans="1:28" s="575" customFormat="1">
      <c r="A666" s="616"/>
      <c r="B666" s="576" t="s">
        <v>909</v>
      </c>
      <c r="C666" s="591"/>
      <c r="D666" s="617"/>
      <c r="E666" s="618"/>
      <c r="F666" s="619"/>
      <c r="G666" s="620"/>
      <c r="H666" s="621">
        <v>23.44</v>
      </c>
      <c r="I666" s="621"/>
      <c r="J666" s="623"/>
      <c r="K666" s="586"/>
      <c r="L666" s="586"/>
      <c r="M666" s="571"/>
      <c r="N666" s="588"/>
      <c r="O666" s="588"/>
      <c r="P666" s="589"/>
      <c r="Q666" s="572"/>
      <c r="R666" s="573"/>
      <c r="S666" s="574"/>
      <c r="T666" s="574"/>
      <c r="U666" s="574"/>
      <c r="V666" s="574"/>
      <c r="W666" s="574"/>
      <c r="X666" s="572"/>
      <c r="Y666" s="572"/>
      <c r="Z666" s="572"/>
      <c r="AB666" s="573"/>
    </row>
    <row r="667" spans="1:28" s="575" customFormat="1">
      <c r="A667" s="616"/>
      <c r="B667" s="576" t="s">
        <v>910</v>
      </c>
      <c r="C667" s="591"/>
      <c r="D667" s="617"/>
      <c r="E667" s="618"/>
      <c r="F667" s="619"/>
      <c r="G667" s="620"/>
      <c r="H667" s="621">
        <v>6.1</v>
      </c>
      <c r="I667" s="621"/>
      <c r="J667" s="623"/>
      <c r="K667" s="586"/>
      <c r="L667" s="586"/>
      <c r="M667" s="571"/>
      <c r="N667" s="588"/>
      <c r="O667" s="588"/>
      <c r="P667" s="589"/>
      <c r="Q667" s="572"/>
      <c r="R667" s="573"/>
      <c r="S667" s="574"/>
      <c r="T667" s="574"/>
      <c r="U667" s="574"/>
      <c r="V667" s="574"/>
      <c r="W667" s="574"/>
      <c r="X667" s="572"/>
      <c r="Y667" s="572"/>
      <c r="Z667" s="572"/>
      <c r="AB667" s="573"/>
    </row>
    <row r="668" spans="1:28" s="575" customFormat="1">
      <c r="A668" s="616"/>
      <c r="B668" s="570" t="s">
        <v>202</v>
      </c>
      <c r="C668" s="591"/>
      <c r="D668" s="617"/>
      <c r="E668" s="618"/>
      <c r="F668" s="619"/>
      <c r="G668" s="620"/>
      <c r="H668" s="621"/>
      <c r="I668" s="622"/>
      <c r="J668" s="623"/>
      <c r="K668" s="586"/>
      <c r="L668" s="586"/>
      <c r="M668" s="571"/>
      <c r="N668" s="577" t="s">
        <v>611</v>
      </c>
      <c r="O668" s="577" t="s">
        <v>611</v>
      </c>
      <c r="P668" s="587" t="s">
        <v>611</v>
      </c>
      <c r="Q668" s="572"/>
      <c r="R668" s="573"/>
      <c r="S668" s="574"/>
      <c r="T668" s="574"/>
      <c r="U668" s="574"/>
      <c r="V668" s="574"/>
      <c r="W668" s="574"/>
      <c r="X668" s="572"/>
      <c r="Y668" s="572"/>
      <c r="Z668" s="572"/>
      <c r="AB668" s="573" t="s">
        <v>668</v>
      </c>
    </row>
    <row r="669" spans="1:28" s="575" customFormat="1">
      <c r="A669" s="616"/>
      <c r="B669" s="570" t="s">
        <v>669</v>
      </c>
      <c r="C669" s="591"/>
      <c r="D669" s="617"/>
      <c r="E669" s="618"/>
      <c r="F669" s="619"/>
      <c r="G669" s="620"/>
      <c r="H669" s="621"/>
      <c r="I669" s="622"/>
      <c r="J669" s="623"/>
      <c r="K669" s="586"/>
      <c r="L669" s="586"/>
      <c r="M669" s="571"/>
      <c r="N669" s="577" t="s">
        <v>611</v>
      </c>
      <c r="O669" s="577" t="s">
        <v>611</v>
      </c>
      <c r="P669" s="587" t="s">
        <v>611</v>
      </c>
      <c r="Q669" s="572"/>
      <c r="R669" s="573"/>
      <c r="S669" s="574"/>
      <c r="T669" s="574"/>
      <c r="U669" s="574"/>
      <c r="V669" s="574"/>
      <c r="W669" s="574"/>
      <c r="X669" s="572"/>
      <c r="Y669" s="572"/>
      <c r="Z669" s="572"/>
      <c r="AB669" s="573" t="s">
        <v>668</v>
      </c>
    </row>
    <row r="670" spans="1:28" s="575" customFormat="1">
      <c r="A670" s="616"/>
      <c r="B670" s="591" t="s">
        <v>635</v>
      </c>
      <c r="C670" s="591"/>
      <c r="D670" s="617"/>
      <c r="E670" s="618"/>
      <c r="F670" s="619"/>
      <c r="G670" s="620"/>
      <c r="H670" s="621"/>
      <c r="I670" s="621"/>
      <c r="J670" s="623"/>
      <c r="K670" s="586"/>
      <c r="L670" s="586"/>
      <c r="M670" s="571"/>
      <c r="N670" s="588"/>
      <c r="O670" s="588"/>
      <c r="P670" s="589"/>
      <c r="Q670" s="572"/>
      <c r="R670" s="573"/>
      <c r="S670" s="574"/>
      <c r="T670" s="574"/>
      <c r="U670" s="574"/>
      <c r="V670" s="574"/>
      <c r="W670" s="574"/>
      <c r="X670" s="572"/>
      <c r="Y670" s="572"/>
      <c r="Z670" s="572"/>
      <c r="AB670" s="573"/>
    </row>
    <row r="671" spans="1:28" s="575" customFormat="1">
      <c r="A671" s="616"/>
      <c r="B671" s="576" t="s">
        <v>908</v>
      </c>
      <c r="C671" s="591"/>
      <c r="D671" s="617"/>
      <c r="E671" s="618">
        <v>135.80000000000001</v>
      </c>
      <c r="F671" s="619"/>
      <c r="G671" s="620">
        <v>0.5</v>
      </c>
      <c r="H671" s="621">
        <f>E671*G671</f>
        <v>67.900000000000006</v>
      </c>
      <c r="I671" s="621"/>
      <c r="J671" s="623"/>
      <c r="K671" s="586"/>
      <c r="L671" s="586"/>
      <c r="M671" s="571"/>
      <c r="N671" s="588"/>
      <c r="O671" s="588"/>
      <c r="P671" s="589"/>
      <c r="Q671" s="572"/>
      <c r="R671" s="573"/>
      <c r="S671" s="574"/>
      <c r="T671" s="574"/>
      <c r="U671" s="574"/>
      <c r="V671" s="574"/>
      <c r="W671" s="574"/>
      <c r="X671" s="572"/>
      <c r="Y671" s="572"/>
      <c r="Z671" s="572"/>
      <c r="AB671" s="573"/>
    </row>
    <row r="672" spans="1:28" s="575" customFormat="1">
      <c r="A672" s="616"/>
      <c r="B672" s="576" t="s">
        <v>909</v>
      </c>
      <c r="C672" s="591"/>
      <c r="D672" s="617"/>
      <c r="E672" s="618">
        <v>20</v>
      </c>
      <c r="F672" s="619"/>
      <c r="G672" s="620">
        <v>0.5</v>
      </c>
      <c r="H672" s="621">
        <f>E672*G672</f>
        <v>10</v>
      </c>
      <c r="I672" s="621"/>
      <c r="J672" s="623"/>
      <c r="K672" s="586"/>
      <c r="L672" s="586"/>
      <c r="M672" s="571"/>
      <c r="N672" s="588"/>
      <c r="O672" s="588"/>
      <c r="P672" s="589"/>
      <c r="Q672" s="572"/>
      <c r="R672" s="573"/>
      <c r="S672" s="574"/>
      <c r="T672" s="574"/>
      <c r="U672" s="574"/>
      <c r="V672" s="574"/>
      <c r="W672" s="574"/>
      <c r="X672" s="572"/>
      <c r="Y672" s="572"/>
      <c r="Z672" s="572"/>
      <c r="AB672" s="573"/>
    </row>
    <row r="673" spans="1:28" s="575" customFormat="1">
      <c r="A673" s="616"/>
      <c r="B673" s="576" t="s">
        <v>910</v>
      </c>
      <c r="C673" s="591"/>
      <c r="D673" s="617"/>
      <c r="E673" s="618">
        <v>10.1</v>
      </c>
      <c r="F673" s="619"/>
      <c r="G673" s="620">
        <v>0.2</v>
      </c>
      <c r="H673" s="621">
        <f>E673*G673</f>
        <v>2.02</v>
      </c>
      <c r="I673" s="621"/>
      <c r="J673" s="623"/>
      <c r="K673" s="586"/>
      <c r="L673" s="586"/>
      <c r="M673" s="571"/>
      <c r="N673" s="588"/>
      <c r="O673" s="588"/>
      <c r="P673" s="589"/>
      <c r="Q673" s="572"/>
      <c r="R673" s="573"/>
      <c r="S673" s="574"/>
      <c r="T673" s="574"/>
      <c r="U673" s="574"/>
      <c r="V673" s="574"/>
      <c r="W673" s="574"/>
      <c r="X673" s="572"/>
      <c r="Y673" s="572"/>
      <c r="Z673" s="572"/>
      <c r="AB673" s="573"/>
    </row>
    <row r="674" spans="1:28" s="575" customFormat="1">
      <c r="A674" s="616"/>
      <c r="B674" s="576"/>
      <c r="C674" s="591"/>
      <c r="D674" s="617"/>
      <c r="E674" s="618"/>
      <c r="F674" s="619"/>
      <c r="G674" s="620"/>
      <c r="H674" s="621"/>
      <c r="I674" s="621"/>
      <c r="J674" s="623"/>
      <c r="K674" s="586"/>
      <c r="L674" s="586"/>
      <c r="M674" s="571"/>
      <c r="N674" s="588"/>
      <c r="O674" s="588"/>
      <c r="P674" s="589"/>
      <c r="Q674" s="572"/>
      <c r="R674" s="573"/>
      <c r="S674" s="574"/>
      <c r="T674" s="574"/>
      <c r="U674" s="574"/>
      <c r="V674" s="574"/>
      <c r="W674" s="574"/>
      <c r="X674" s="572"/>
      <c r="Y674" s="572"/>
      <c r="Z674" s="572"/>
      <c r="AB674" s="573"/>
    </row>
    <row r="675" spans="1:28" s="478" customFormat="1" ht="29.25" customHeight="1">
      <c r="A675" s="463" t="s">
        <v>1005</v>
      </c>
      <c r="B675" s="464" t="s">
        <v>1006</v>
      </c>
      <c r="C675" s="465" t="s">
        <v>195</v>
      </c>
      <c r="D675" s="466"/>
      <c r="E675" s="467"/>
      <c r="F675" s="468"/>
      <c r="G675" s="469"/>
      <c r="H675" s="470"/>
      <c r="I675" s="470"/>
      <c r="J675" s="472"/>
      <c r="K675" s="473"/>
      <c r="L675" s="473"/>
      <c r="M675" s="474"/>
      <c r="N675" s="479"/>
      <c r="O675" s="479"/>
      <c r="P675" s="480"/>
      <c r="Q675" s="475"/>
      <c r="R675" s="476"/>
      <c r="S675" s="477"/>
      <c r="T675" s="477"/>
      <c r="U675" s="477"/>
      <c r="V675" s="477"/>
      <c r="W675" s="477"/>
      <c r="X675" s="475"/>
      <c r="Y675" s="475"/>
      <c r="Z675" s="475"/>
      <c r="AB675" s="476"/>
    </row>
    <row r="676" spans="1:28" s="575" customFormat="1" ht="29.25" customHeight="1">
      <c r="A676" s="616"/>
      <c r="B676" s="591" t="s">
        <v>754</v>
      </c>
      <c r="C676" s="591"/>
      <c r="D676" s="617"/>
      <c r="E676" s="618"/>
      <c r="F676" s="619"/>
      <c r="G676" s="620"/>
      <c r="H676" s="622"/>
      <c r="I676" s="622"/>
      <c r="J676" s="623"/>
      <c r="K676" s="586">
        <f t="shared" ref="K676:K713" si="33">H676</f>
        <v>0</v>
      </c>
      <c r="L676" s="586"/>
      <c r="M676" s="571"/>
      <c r="N676" s="577" t="s">
        <v>611</v>
      </c>
      <c r="O676" s="577" t="s">
        <v>611</v>
      </c>
      <c r="P676" s="577" t="s">
        <v>611</v>
      </c>
      <c r="Q676" s="572"/>
      <c r="R676" s="573"/>
      <c r="S676" s="574"/>
      <c r="T676" s="574"/>
      <c r="U676" s="574"/>
      <c r="V676" s="574"/>
      <c r="W676" s="574"/>
      <c r="X676" s="572"/>
      <c r="Y676" s="572"/>
      <c r="Z676" s="572"/>
      <c r="AB676" s="573" t="s">
        <v>668</v>
      </c>
    </row>
    <row r="677" spans="1:28" s="575" customFormat="1">
      <c r="A677" s="616"/>
      <c r="B677" s="591" t="s">
        <v>666</v>
      </c>
      <c r="C677" s="591"/>
      <c r="D677" s="617"/>
      <c r="E677" s="618"/>
      <c r="F677" s="619"/>
      <c r="G677" s="620"/>
      <c r="H677" s="622"/>
      <c r="I677" s="622"/>
      <c r="J677" s="623"/>
      <c r="K677" s="586">
        <f t="shared" si="33"/>
        <v>0</v>
      </c>
      <c r="L677" s="586"/>
      <c r="M677" s="571"/>
      <c r="N677" s="577" t="s">
        <v>611</v>
      </c>
      <c r="O677" s="577" t="s">
        <v>611</v>
      </c>
      <c r="P677" s="577" t="s">
        <v>611</v>
      </c>
      <c r="Q677" s="572"/>
      <c r="R677" s="573"/>
      <c r="S677" s="574"/>
      <c r="T677" s="574"/>
      <c r="U677" s="574"/>
      <c r="V677" s="574"/>
      <c r="W677" s="574"/>
      <c r="X677" s="572"/>
      <c r="Y677" s="572"/>
      <c r="Z677" s="572"/>
      <c r="AB677" s="573" t="s">
        <v>668</v>
      </c>
    </row>
    <row r="678" spans="1:28" s="575" customFormat="1">
      <c r="A678" s="616"/>
      <c r="B678" s="576" t="s">
        <v>193</v>
      </c>
      <c r="C678" s="591"/>
      <c r="D678" s="617"/>
      <c r="E678" s="618">
        <v>5.23</v>
      </c>
      <c r="F678" s="619"/>
      <c r="G678" s="620">
        <v>1.1000000000000001</v>
      </c>
      <c r="H678" s="621">
        <f>G678*E678</f>
        <v>5.753000000000001</v>
      </c>
      <c r="I678" s="622"/>
      <c r="J678" s="623"/>
      <c r="K678" s="586">
        <f t="shared" si="33"/>
        <v>5.753000000000001</v>
      </c>
      <c r="L678" s="586"/>
      <c r="M678" s="571"/>
      <c r="N678" s="577" t="s">
        <v>611</v>
      </c>
      <c r="O678" s="577">
        <v>1</v>
      </c>
      <c r="P678" s="577" t="s">
        <v>611</v>
      </c>
      <c r="Q678" s="572"/>
      <c r="R678" s="573"/>
      <c r="S678" s="574"/>
      <c r="T678" s="574"/>
      <c r="U678" s="574"/>
      <c r="V678" s="574"/>
      <c r="W678" s="574"/>
      <c r="X678" s="572"/>
      <c r="Y678" s="572"/>
      <c r="Z678" s="572"/>
      <c r="AB678" s="573" t="s">
        <v>668</v>
      </c>
    </row>
    <row r="679" spans="1:28" s="575" customFormat="1">
      <c r="A679" s="616"/>
      <c r="B679" s="576" t="s">
        <v>842</v>
      </c>
      <c r="C679" s="591"/>
      <c r="D679" s="617"/>
      <c r="E679" s="618">
        <v>3.8</v>
      </c>
      <c r="F679" s="619"/>
      <c r="G679" s="620">
        <v>1.1000000000000001</v>
      </c>
      <c r="H679" s="621">
        <f t="shared" ref="H679:H713" si="34">G679*E679</f>
        <v>4.18</v>
      </c>
      <c r="I679" s="622"/>
      <c r="J679" s="623"/>
      <c r="K679" s="586">
        <f t="shared" si="33"/>
        <v>4.18</v>
      </c>
      <c r="L679" s="586"/>
      <c r="M679" s="571"/>
      <c r="N679" s="577" t="s">
        <v>611</v>
      </c>
      <c r="O679" s="577">
        <v>1</v>
      </c>
      <c r="P679" s="577" t="s">
        <v>611</v>
      </c>
      <c r="Q679" s="572"/>
      <c r="R679" s="573"/>
      <c r="S679" s="574"/>
      <c r="T679" s="574"/>
      <c r="U679" s="574"/>
      <c r="V679" s="574"/>
      <c r="W679" s="574"/>
      <c r="X679" s="572"/>
      <c r="Y679" s="572"/>
      <c r="Z679" s="572"/>
      <c r="AB679" s="573" t="s">
        <v>668</v>
      </c>
    </row>
    <row r="680" spans="1:28" s="575" customFormat="1">
      <c r="A680" s="616"/>
      <c r="B680" s="576" t="s">
        <v>843</v>
      </c>
      <c r="C680" s="591"/>
      <c r="D680" s="617"/>
      <c r="E680" s="618">
        <v>13.15</v>
      </c>
      <c r="F680" s="619"/>
      <c r="G680" s="620">
        <v>1.1000000000000001</v>
      </c>
      <c r="H680" s="621">
        <f t="shared" si="34"/>
        <v>14.465000000000002</v>
      </c>
      <c r="I680" s="622"/>
      <c r="J680" s="623"/>
      <c r="K680" s="586">
        <f t="shared" si="33"/>
        <v>14.465000000000002</v>
      </c>
      <c r="L680" s="586"/>
      <c r="M680" s="571"/>
      <c r="N680" s="577" t="s">
        <v>611</v>
      </c>
      <c r="O680" s="577">
        <v>1</v>
      </c>
      <c r="P680" s="577" t="s">
        <v>611</v>
      </c>
      <c r="Q680" s="572"/>
      <c r="R680" s="573"/>
      <c r="S680" s="574"/>
      <c r="T680" s="574"/>
      <c r="U680" s="574"/>
      <c r="V680" s="574"/>
      <c r="W680" s="574"/>
      <c r="X680" s="572"/>
      <c r="Y680" s="572"/>
      <c r="Z680" s="572"/>
      <c r="AB680" s="573" t="s">
        <v>668</v>
      </c>
    </row>
    <row r="681" spans="1:28" s="575" customFormat="1">
      <c r="A681" s="616"/>
      <c r="B681" s="576" t="s">
        <v>748</v>
      </c>
      <c r="C681" s="591"/>
      <c r="D681" s="617"/>
      <c r="E681" s="618">
        <v>16.7</v>
      </c>
      <c r="F681" s="619"/>
      <c r="G681" s="620">
        <v>1.1000000000000001</v>
      </c>
      <c r="H681" s="621">
        <f t="shared" si="34"/>
        <v>18.37</v>
      </c>
      <c r="I681" s="622"/>
      <c r="J681" s="623"/>
      <c r="K681" s="586">
        <f t="shared" si="33"/>
        <v>18.37</v>
      </c>
      <c r="L681" s="586"/>
      <c r="M681" s="571"/>
      <c r="N681" s="577" t="s">
        <v>611</v>
      </c>
      <c r="O681" s="577">
        <v>2</v>
      </c>
      <c r="P681" s="577" t="s">
        <v>611</v>
      </c>
      <c r="Q681" s="572"/>
      <c r="R681" s="573"/>
      <c r="S681" s="574"/>
      <c r="T681" s="574"/>
      <c r="U681" s="574"/>
      <c r="V681" s="574"/>
      <c r="W681" s="574"/>
      <c r="X681" s="572"/>
      <c r="Y681" s="572"/>
      <c r="Z681" s="572"/>
      <c r="AB681" s="573" t="s">
        <v>668</v>
      </c>
    </row>
    <row r="682" spans="1:28" s="575" customFormat="1">
      <c r="A682" s="616"/>
      <c r="B682" s="576" t="s">
        <v>749</v>
      </c>
      <c r="C682" s="591"/>
      <c r="D682" s="617"/>
      <c r="E682" s="618">
        <v>16.7</v>
      </c>
      <c r="F682" s="619"/>
      <c r="G682" s="620">
        <v>1.1000000000000001</v>
      </c>
      <c r="H682" s="621">
        <f t="shared" si="34"/>
        <v>18.37</v>
      </c>
      <c r="I682" s="622"/>
      <c r="J682" s="623"/>
      <c r="K682" s="586">
        <f t="shared" si="33"/>
        <v>18.37</v>
      </c>
      <c r="L682" s="586"/>
      <c r="M682" s="571"/>
      <c r="N682" s="577" t="s">
        <v>611</v>
      </c>
      <c r="O682" s="577">
        <v>2</v>
      </c>
      <c r="P682" s="577" t="s">
        <v>611</v>
      </c>
      <c r="Q682" s="572"/>
      <c r="R682" s="573"/>
      <c r="S682" s="574"/>
      <c r="T682" s="574"/>
      <c r="U682" s="574"/>
      <c r="V682" s="574"/>
      <c r="W682" s="574"/>
      <c r="X682" s="572"/>
      <c r="Y682" s="572"/>
      <c r="Z682" s="572"/>
      <c r="AB682" s="573" t="s">
        <v>668</v>
      </c>
    </row>
    <row r="683" spans="1:28" s="575" customFormat="1">
      <c r="A683" s="616"/>
      <c r="B683" s="576" t="s">
        <v>782</v>
      </c>
      <c r="C683" s="591"/>
      <c r="D683" s="617"/>
      <c r="E683" s="618">
        <v>14.04</v>
      </c>
      <c r="F683" s="619"/>
      <c r="G683" s="620">
        <v>1.1000000000000001</v>
      </c>
      <c r="H683" s="621">
        <f t="shared" si="34"/>
        <v>15.444000000000001</v>
      </c>
      <c r="I683" s="622"/>
      <c r="J683" s="623"/>
      <c r="K683" s="586">
        <f t="shared" si="33"/>
        <v>15.444000000000001</v>
      </c>
      <c r="L683" s="586"/>
      <c r="M683" s="571"/>
      <c r="N683" s="577" t="s">
        <v>611</v>
      </c>
      <c r="O683" s="577">
        <v>4</v>
      </c>
      <c r="P683" s="577" t="s">
        <v>611</v>
      </c>
      <c r="Q683" s="572"/>
      <c r="R683" s="573"/>
      <c r="S683" s="574"/>
      <c r="T683" s="574"/>
      <c r="U683" s="574"/>
      <c r="V683" s="574"/>
      <c r="W683" s="574"/>
      <c r="X683" s="572"/>
      <c r="Y683" s="572"/>
      <c r="Z683" s="572"/>
      <c r="AB683" s="573" t="s">
        <v>668</v>
      </c>
    </row>
    <row r="684" spans="1:28" s="575" customFormat="1">
      <c r="A684" s="616"/>
      <c r="B684" s="576" t="s">
        <v>845</v>
      </c>
      <c r="C684" s="591"/>
      <c r="D684" s="617"/>
      <c r="E684" s="618">
        <v>15</v>
      </c>
      <c r="F684" s="619"/>
      <c r="G684" s="620">
        <v>1.1000000000000001</v>
      </c>
      <c r="H684" s="621">
        <f t="shared" si="34"/>
        <v>16.5</v>
      </c>
      <c r="I684" s="622"/>
      <c r="J684" s="623"/>
      <c r="K684" s="586">
        <f t="shared" si="33"/>
        <v>16.5</v>
      </c>
      <c r="L684" s="586"/>
      <c r="M684" s="571"/>
      <c r="N684" s="577" t="s">
        <v>611</v>
      </c>
      <c r="O684" s="577">
        <v>2</v>
      </c>
      <c r="P684" s="577" t="s">
        <v>611</v>
      </c>
      <c r="Q684" s="572"/>
      <c r="R684" s="573"/>
      <c r="S684" s="574"/>
      <c r="T684" s="574"/>
      <c r="U684" s="574"/>
      <c r="V684" s="574"/>
      <c r="W684" s="574"/>
      <c r="X684" s="572"/>
      <c r="Y684" s="572"/>
      <c r="Z684" s="572"/>
      <c r="AB684" s="573" t="s">
        <v>668</v>
      </c>
    </row>
    <row r="685" spans="1:28" s="575" customFormat="1">
      <c r="A685" s="616"/>
      <c r="B685" s="576" t="s">
        <v>846</v>
      </c>
      <c r="C685" s="591"/>
      <c r="D685" s="617"/>
      <c r="E685" s="618">
        <v>5.5</v>
      </c>
      <c r="F685" s="619"/>
      <c r="G685" s="620">
        <v>1.1000000000000001</v>
      </c>
      <c r="H685" s="621">
        <f t="shared" si="34"/>
        <v>6.0500000000000007</v>
      </c>
      <c r="I685" s="622"/>
      <c r="J685" s="623"/>
      <c r="K685" s="586">
        <f t="shared" si="33"/>
        <v>6.0500000000000007</v>
      </c>
      <c r="L685" s="586"/>
      <c r="M685" s="571"/>
      <c r="N685" s="577" t="s">
        <v>611</v>
      </c>
      <c r="O685" s="577">
        <v>1</v>
      </c>
      <c r="P685" s="577" t="s">
        <v>611</v>
      </c>
      <c r="Q685" s="572"/>
      <c r="R685" s="573"/>
      <c r="S685" s="574"/>
      <c r="T685" s="574"/>
      <c r="U685" s="574"/>
      <c r="V685" s="574"/>
      <c r="W685" s="574"/>
      <c r="X685" s="572"/>
      <c r="Y685" s="572"/>
      <c r="Z685" s="572"/>
      <c r="AB685" s="573" t="s">
        <v>668</v>
      </c>
    </row>
    <row r="686" spans="1:28" s="575" customFormat="1">
      <c r="A686" s="616"/>
      <c r="B686" s="576" t="s">
        <v>847</v>
      </c>
      <c r="C686" s="591"/>
      <c r="D686" s="617"/>
      <c r="E686" s="618">
        <v>6.8</v>
      </c>
      <c r="F686" s="619"/>
      <c r="G686" s="620">
        <v>1.1000000000000001</v>
      </c>
      <c r="H686" s="621">
        <f t="shared" si="34"/>
        <v>7.48</v>
      </c>
      <c r="I686" s="622"/>
      <c r="J686" s="623"/>
      <c r="K686" s="586">
        <f t="shared" si="33"/>
        <v>7.48</v>
      </c>
      <c r="L686" s="586"/>
      <c r="M686" s="571"/>
      <c r="N686" s="577" t="s">
        <v>611</v>
      </c>
      <c r="O686" s="577">
        <v>1</v>
      </c>
      <c r="P686" s="577" t="s">
        <v>611</v>
      </c>
      <c r="Q686" s="572"/>
      <c r="R686" s="573"/>
      <c r="S686" s="574"/>
      <c r="T686" s="574"/>
      <c r="U686" s="574"/>
      <c r="V686" s="574"/>
      <c r="W686" s="574"/>
      <c r="X686" s="572"/>
      <c r="Y686" s="572"/>
      <c r="Z686" s="572"/>
      <c r="AB686" s="573" t="s">
        <v>668</v>
      </c>
    </row>
    <row r="687" spans="1:28" s="575" customFormat="1">
      <c r="A687" s="616"/>
      <c r="B687" s="576" t="s">
        <v>671</v>
      </c>
      <c r="C687" s="591"/>
      <c r="D687" s="617"/>
      <c r="E687" s="618">
        <v>2.5</v>
      </c>
      <c r="F687" s="619"/>
      <c r="G687" s="620">
        <v>1.1000000000000001</v>
      </c>
      <c r="H687" s="621">
        <f t="shared" si="34"/>
        <v>2.75</v>
      </c>
      <c r="I687" s="622"/>
      <c r="J687" s="623"/>
      <c r="K687" s="586">
        <f t="shared" si="33"/>
        <v>2.75</v>
      </c>
      <c r="L687" s="586"/>
      <c r="M687" s="571"/>
      <c r="N687" s="577" t="s">
        <v>611</v>
      </c>
      <c r="O687" s="577">
        <v>1</v>
      </c>
      <c r="P687" s="577" t="s">
        <v>611</v>
      </c>
      <c r="Q687" s="572"/>
      <c r="R687" s="573"/>
      <c r="S687" s="574"/>
      <c r="T687" s="574"/>
      <c r="U687" s="574"/>
      <c r="V687" s="574"/>
      <c r="W687" s="574"/>
      <c r="X687" s="572"/>
      <c r="Y687" s="572"/>
      <c r="Z687" s="572"/>
      <c r="AB687" s="573" t="s">
        <v>668</v>
      </c>
    </row>
    <row r="688" spans="1:28" s="575" customFormat="1">
      <c r="A688" s="616"/>
      <c r="B688" s="576" t="s">
        <v>848</v>
      </c>
      <c r="C688" s="591"/>
      <c r="D688" s="617"/>
      <c r="E688" s="618">
        <v>19.100000000000001</v>
      </c>
      <c r="F688" s="619"/>
      <c r="G688" s="620">
        <v>1.1000000000000001</v>
      </c>
      <c r="H688" s="621">
        <f t="shared" si="34"/>
        <v>21.01</v>
      </c>
      <c r="I688" s="622"/>
      <c r="J688" s="623"/>
      <c r="K688" s="586">
        <f t="shared" si="33"/>
        <v>21.01</v>
      </c>
      <c r="L688" s="586"/>
      <c r="M688" s="571"/>
      <c r="N688" s="577" t="s">
        <v>611</v>
      </c>
      <c r="O688" s="577">
        <v>2</v>
      </c>
      <c r="P688" s="577" t="s">
        <v>611</v>
      </c>
      <c r="Q688" s="572"/>
      <c r="R688" s="573"/>
      <c r="S688" s="574"/>
      <c r="T688" s="574"/>
      <c r="U688" s="574"/>
      <c r="V688" s="574"/>
      <c r="W688" s="574"/>
      <c r="X688" s="572"/>
      <c r="Y688" s="572"/>
      <c r="Z688" s="572"/>
      <c r="AB688" s="573" t="s">
        <v>668</v>
      </c>
    </row>
    <row r="689" spans="1:28" s="575" customFormat="1">
      <c r="A689" s="616"/>
      <c r="B689" s="576" t="s">
        <v>670</v>
      </c>
      <c r="C689" s="591"/>
      <c r="D689" s="617"/>
      <c r="E689" s="618">
        <v>8.5</v>
      </c>
      <c r="F689" s="619"/>
      <c r="G689" s="620">
        <v>1.1000000000000001</v>
      </c>
      <c r="H689" s="621">
        <f t="shared" si="34"/>
        <v>9.3500000000000014</v>
      </c>
      <c r="I689" s="622"/>
      <c r="J689" s="623"/>
      <c r="K689" s="586">
        <f t="shared" si="33"/>
        <v>9.3500000000000014</v>
      </c>
      <c r="L689" s="586"/>
      <c r="M689" s="571"/>
      <c r="N689" s="577" t="s">
        <v>611</v>
      </c>
      <c r="O689" s="577">
        <v>1</v>
      </c>
      <c r="P689" s="577" t="s">
        <v>611</v>
      </c>
      <c r="Q689" s="572"/>
      <c r="R689" s="573"/>
      <c r="S689" s="574"/>
      <c r="T689" s="574"/>
      <c r="U689" s="574"/>
      <c r="V689" s="574"/>
      <c r="W689" s="574"/>
      <c r="X689" s="572"/>
      <c r="Y689" s="572"/>
      <c r="Z689" s="572"/>
      <c r="AB689" s="573" t="s">
        <v>668</v>
      </c>
    </row>
    <row r="690" spans="1:28" s="575" customFormat="1">
      <c r="A690" s="616"/>
      <c r="B690" s="576" t="s">
        <v>849</v>
      </c>
      <c r="C690" s="591"/>
      <c r="D690" s="617"/>
      <c r="E690" s="618">
        <v>1.8</v>
      </c>
      <c r="F690" s="619"/>
      <c r="G690" s="620">
        <v>1.1000000000000001</v>
      </c>
      <c r="H690" s="621">
        <f t="shared" si="34"/>
        <v>1.9800000000000002</v>
      </c>
      <c r="I690" s="622"/>
      <c r="J690" s="623"/>
      <c r="K690" s="586">
        <f t="shared" si="33"/>
        <v>1.9800000000000002</v>
      </c>
      <c r="L690" s="586"/>
      <c r="M690" s="571"/>
      <c r="N690" s="577" t="s">
        <v>611</v>
      </c>
      <c r="O690" s="577">
        <v>1</v>
      </c>
      <c r="P690" s="577" t="s">
        <v>611</v>
      </c>
      <c r="Q690" s="572"/>
      <c r="R690" s="573"/>
      <c r="S690" s="574"/>
      <c r="T690" s="574"/>
      <c r="U690" s="574"/>
      <c r="V690" s="574"/>
      <c r="W690" s="574"/>
      <c r="X690" s="572"/>
      <c r="Y690" s="572"/>
      <c r="Z690" s="572"/>
      <c r="AB690" s="573" t="s">
        <v>668</v>
      </c>
    </row>
    <row r="691" spans="1:28" s="575" customFormat="1">
      <c r="A691" s="616"/>
      <c r="B691" s="576" t="s">
        <v>904</v>
      </c>
      <c r="C691" s="591"/>
      <c r="D691" s="617"/>
      <c r="E691" s="618">
        <v>5.0999999999999996</v>
      </c>
      <c r="F691" s="619"/>
      <c r="G691" s="620">
        <f>0.5</f>
        <v>0.5</v>
      </c>
      <c r="H691" s="621">
        <f t="shared" si="34"/>
        <v>2.5499999999999998</v>
      </c>
      <c r="I691" s="622"/>
      <c r="J691" s="623"/>
      <c r="K691" s="586">
        <f t="shared" si="33"/>
        <v>2.5499999999999998</v>
      </c>
      <c r="L691" s="586"/>
      <c r="M691" s="571"/>
      <c r="N691" s="577" t="s">
        <v>611</v>
      </c>
      <c r="O691" s="577">
        <v>1</v>
      </c>
      <c r="P691" s="577" t="s">
        <v>611</v>
      </c>
      <c r="Q691" s="572"/>
      <c r="R691" s="573"/>
      <c r="S691" s="574"/>
      <c r="T691" s="574"/>
      <c r="U691" s="574"/>
      <c r="V691" s="574"/>
      <c r="W691" s="574"/>
      <c r="X691" s="572"/>
      <c r="Y691" s="572"/>
      <c r="Z691" s="572"/>
      <c r="AB691" s="573" t="s">
        <v>668</v>
      </c>
    </row>
    <row r="692" spans="1:28" s="575" customFormat="1">
      <c r="A692" s="616"/>
      <c r="B692" s="576" t="s">
        <v>118</v>
      </c>
      <c r="C692" s="591"/>
      <c r="D692" s="617"/>
      <c r="E692" s="618">
        <v>8.5</v>
      </c>
      <c r="F692" s="619"/>
      <c r="G692" s="620">
        <v>1.1000000000000001</v>
      </c>
      <c r="H692" s="621">
        <f t="shared" si="34"/>
        <v>9.3500000000000014</v>
      </c>
      <c r="I692" s="622"/>
      <c r="J692" s="623"/>
      <c r="K692" s="586">
        <f t="shared" si="33"/>
        <v>9.3500000000000014</v>
      </c>
      <c r="L692" s="586"/>
      <c r="M692" s="571"/>
      <c r="N692" s="577" t="s">
        <v>611</v>
      </c>
      <c r="O692" s="577">
        <v>2</v>
      </c>
      <c r="P692" s="577" t="s">
        <v>611</v>
      </c>
      <c r="Q692" s="572"/>
      <c r="R692" s="573"/>
      <c r="S692" s="574"/>
      <c r="T692" s="574"/>
      <c r="U692" s="574"/>
      <c r="V692" s="574"/>
      <c r="W692" s="574"/>
      <c r="X692" s="572"/>
      <c r="Y692" s="572"/>
      <c r="Z692" s="572"/>
      <c r="AB692" s="573" t="s">
        <v>668</v>
      </c>
    </row>
    <row r="693" spans="1:28" s="575" customFormat="1">
      <c r="A693" s="616"/>
      <c r="B693" s="576" t="s">
        <v>182</v>
      </c>
      <c r="C693" s="591"/>
      <c r="D693" s="617"/>
      <c r="E693" s="618">
        <v>5.35</v>
      </c>
      <c r="F693" s="619"/>
      <c r="G693" s="620">
        <v>1.1000000000000001</v>
      </c>
      <c r="H693" s="621">
        <f t="shared" si="34"/>
        <v>5.8849999999999998</v>
      </c>
      <c r="I693" s="622"/>
      <c r="J693" s="623"/>
      <c r="K693" s="586">
        <f t="shared" si="33"/>
        <v>5.8849999999999998</v>
      </c>
      <c r="L693" s="586"/>
      <c r="M693" s="571"/>
      <c r="N693" s="577" t="s">
        <v>611</v>
      </c>
      <c r="O693" s="577">
        <v>1</v>
      </c>
      <c r="P693" s="577" t="s">
        <v>611</v>
      </c>
      <c r="Q693" s="572"/>
      <c r="R693" s="573"/>
      <c r="S693" s="574"/>
      <c r="T693" s="574"/>
      <c r="U693" s="574"/>
      <c r="V693" s="574"/>
      <c r="W693" s="574"/>
      <c r="X693" s="572"/>
      <c r="Y693" s="572"/>
      <c r="Z693" s="572"/>
      <c r="AB693" s="573" t="s">
        <v>668</v>
      </c>
    </row>
    <row r="694" spans="1:28" s="575" customFormat="1">
      <c r="A694" s="616"/>
      <c r="B694" s="576" t="s">
        <v>850</v>
      </c>
      <c r="C694" s="591"/>
      <c r="D694" s="617"/>
      <c r="E694" s="618">
        <v>6.35</v>
      </c>
      <c r="F694" s="619"/>
      <c r="G694" s="620">
        <v>1.1000000000000001</v>
      </c>
      <c r="H694" s="621">
        <f t="shared" si="34"/>
        <v>6.9850000000000003</v>
      </c>
      <c r="I694" s="622"/>
      <c r="J694" s="623"/>
      <c r="K694" s="586">
        <f t="shared" si="33"/>
        <v>6.9850000000000003</v>
      </c>
      <c r="L694" s="586"/>
      <c r="M694" s="571"/>
      <c r="N694" s="577" t="s">
        <v>611</v>
      </c>
      <c r="O694" s="577">
        <v>1</v>
      </c>
      <c r="P694" s="577" t="s">
        <v>611</v>
      </c>
      <c r="Q694" s="572"/>
      <c r="R694" s="573"/>
      <c r="S694" s="574"/>
      <c r="T694" s="574"/>
      <c r="U694" s="574"/>
      <c r="V694" s="574"/>
      <c r="W694" s="574"/>
      <c r="X694" s="572"/>
      <c r="Y694" s="572"/>
      <c r="Z694" s="572"/>
      <c r="AB694" s="573" t="s">
        <v>668</v>
      </c>
    </row>
    <row r="695" spans="1:28" s="575" customFormat="1">
      <c r="A695" s="616"/>
      <c r="B695" s="576" t="s">
        <v>852</v>
      </c>
      <c r="C695" s="591"/>
      <c r="D695" s="617"/>
      <c r="E695" s="618">
        <v>7.2</v>
      </c>
      <c r="F695" s="619"/>
      <c r="G695" s="620">
        <v>1.1000000000000001</v>
      </c>
      <c r="H695" s="621">
        <f t="shared" si="34"/>
        <v>7.9200000000000008</v>
      </c>
      <c r="I695" s="622"/>
      <c r="J695" s="623"/>
      <c r="K695" s="586">
        <f t="shared" si="33"/>
        <v>7.9200000000000008</v>
      </c>
      <c r="L695" s="586"/>
      <c r="M695" s="571"/>
      <c r="N695" s="577" t="s">
        <v>611</v>
      </c>
      <c r="O695" s="577">
        <v>2</v>
      </c>
      <c r="P695" s="577" t="s">
        <v>611</v>
      </c>
      <c r="Q695" s="572"/>
      <c r="R695" s="573"/>
      <c r="S695" s="574"/>
      <c r="T695" s="574"/>
      <c r="U695" s="574"/>
      <c r="V695" s="574"/>
      <c r="W695" s="574"/>
      <c r="X695" s="572"/>
      <c r="Y695" s="572"/>
      <c r="Z695" s="572"/>
      <c r="AB695" s="573" t="s">
        <v>668</v>
      </c>
    </row>
    <row r="696" spans="1:28" s="575" customFormat="1">
      <c r="A696" s="616"/>
      <c r="B696" s="576" t="s">
        <v>853</v>
      </c>
      <c r="C696" s="591"/>
      <c r="D696" s="617"/>
      <c r="E696" s="618">
        <v>7.2</v>
      </c>
      <c r="F696" s="619"/>
      <c r="G696" s="620">
        <v>1.1000000000000001</v>
      </c>
      <c r="H696" s="621">
        <f t="shared" si="34"/>
        <v>7.9200000000000008</v>
      </c>
      <c r="I696" s="622"/>
      <c r="J696" s="623"/>
      <c r="K696" s="586">
        <f t="shared" si="33"/>
        <v>7.9200000000000008</v>
      </c>
      <c r="L696" s="586"/>
      <c r="M696" s="571"/>
      <c r="N696" s="577" t="s">
        <v>611</v>
      </c>
      <c r="O696" s="577">
        <v>2</v>
      </c>
      <c r="P696" s="577" t="s">
        <v>611</v>
      </c>
      <c r="Q696" s="572"/>
      <c r="R696" s="573"/>
      <c r="S696" s="574"/>
      <c r="T696" s="574"/>
      <c r="U696" s="574"/>
      <c r="V696" s="574"/>
      <c r="W696" s="574"/>
      <c r="X696" s="572"/>
      <c r="Y696" s="572"/>
      <c r="Z696" s="572"/>
      <c r="AB696" s="573" t="s">
        <v>668</v>
      </c>
    </row>
    <row r="697" spans="1:28" s="575" customFormat="1">
      <c r="A697" s="616"/>
      <c r="B697" s="576" t="s">
        <v>854</v>
      </c>
      <c r="C697" s="591"/>
      <c r="D697" s="617"/>
      <c r="E697" s="618">
        <v>2.8</v>
      </c>
      <c r="F697" s="619"/>
      <c r="G697" s="620">
        <v>1.1000000000000001</v>
      </c>
      <c r="H697" s="621">
        <f t="shared" si="34"/>
        <v>3.08</v>
      </c>
      <c r="I697" s="622"/>
      <c r="J697" s="623"/>
      <c r="K697" s="586">
        <f t="shared" si="33"/>
        <v>3.08</v>
      </c>
      <c r="L697" s="586"/>
      <c r="M697" s="571"/>
      <c r="N697" s="577" t="s">
        <v>611</v>
      </c>
      <c r="O697" s="577">
        <v>1</v>
      </c>
      <c r="P697" s="577" t="s">
        <v>611</v>
      </c>
      <c r="Q697" s="572"/>
      <c r="R697" s="573"/>
      <c r="S697" s="574"/>
      <c r="T697" s="574"/>
      <c r="U697" s="574"/>
      <c r="V697" s="574"/>
      <c r="W697" s="574"/>
      <c r="X697" s="572"/>
      <c r="Y697" s="572"/>
      <c r="Z697" s="572"/>
      <c r="AB697" s="573" t="s">
        <v>668</v>
      </c>
    </row>
    <row r="698" spans="1:28" s="575" customFormat="1">
      <c r="A698" s="616"/>
      <c r="B698" s="576" t="s">
        <v>856</v>
      </c>
      <c r="C698" s="591"/>
      <c r="D698" s="617"/>
      <c r="E698" s="618">
        <v>7.2</v>
      </c>
      <c r="F698" s="619"/>
      <c r="G698" s="620">
        <v>1.1000000000000001</v>
      </c>
      <c r="H698" s="621">
        <f t="shared" si="34"/>
        <v>7.9200000000000008</v>
      </c>
      <c r="I698" s="622"/>
      <c r="J698" s="623"/>
      <c r="K698" s="586">
        <f t="shared" si="33"/>
        <v>7.9200000000000008</v>
      </c>
      <c r="L698" s="586"/>
      <c r="M698" s="571"/>
      <c r="N698" s="577" t="s">
        <v>611</v>
      </c>
      <c r="O698" s="577">
        <v>2</v>
      </c>
      <c r="P698" s="577" t="s">
        <v>611</v>
      </c>
      <c r="Q698" s="572"/>
      <c r="R698" s="573"/>
      <c r="S698" s="574"/>
      <c r="T698" s="574"/>
      <c r="U698" s="574"/>
      <c r="V698" s="574"/>
      <c r="W698" s="574"/>
      <c r="X698" s="572"/>
      <c r="Y698" s="572"/>
      <c r="Z698" s="572"/>
      <c r="AB698" s="573" t="s">
        <v>668</v>
      </c>
    </row>
    <row r="699" spans="1:28" s="575" customFormat="1">
      <c r="A699" s="616"/>
      <c r="B699" s="576" t="s">
        <v>857</v>
      </c>
      <c r="C699" s="591"/>
      <c r="D699" s="617"/>
      <c r="E699" s="618">
        <v>7.2</v>
      </c>
      <c r="F699" s="619"/>
      <c r="G699" s="620">
        <v>1.1000000000000001</v>
      </c>
      <c r="H699" s="621">
        <f t="shared" si="34"/>
        <v>7.9200000000000008</v>
      </c>
      <c r="I699" s="622"/>
      <c r="J699" s="623"/>
      <c r="K699" s="586">
        <f t="shared" si="33"/>
        <v>7.9200000000000008</v>
      </c>
      <c r="L699" s="586"/>
      <c r="M699" s="571"/>
      <c r="N699" s="577" t="s">
        <v>611</v>
      </c>
      <c r="O699" s="577">
        <v>2</v>
      </c>
      <c r="P699" s="577" t="s">
        <v>611</v>
      </c>
      <c r="Q699" s="572"/>
      <c r="R699" s="573"/>
      <c r="S699" s="574"/>
      <c r="T699" s="574"/>
      <c r="U699" s="574"/>
      <c r="V699" s="574"/>
      <c r="W699" s="574"/>
      <c r="X699" s="572"/>
      <c r="Y699" s="572"/>
      <c r="Z699" s="572"/>
      <c r="AB699" s="573" t="s">
        <v>668</v>
      </c>
    </row>
    <row r="700" spans="1:28" s="575" customFormat="1">
      <c r="A700" s="616"/>
      <c r="B700" s="576" t="s">
        <v>859</v>
      </c>
      <c r="C700" s="591"/>
      <c r="D700" s="617"/>
      <c r="E700" s="618">
        <v>4.7</v>
      </c>
      <c r="F700" s="619"/>
      <c r="G700" s="620">
        <v>1.1000000000000001</v>
      </c>
      <c r="H700" s="621">
        <f t="shared" si="34"/>
        <v>5.1700000000000008</v>
      </c>
      <c r="I700" s="622"/>
      <c r="J700" s="623"/>
      <c r="K700" s="586">
        <f t="shared" si="33"/>
        <v>5.1700000000000008</v>
      </c>
      <c r="L700" s="586"/>
      <c r="M700" s="571"/>
      <c r="N700" s="577" t="s">
        <v>611</v>
      </c>
      <c r="O700" s="577">
        <v>1</v>
      </c>
      <c r="P700" s="577" t="s">
        <v>611</v>
      </c>
      <c r="Q700" s="572"/>
      <c r="R700" s="573"/>
      <c r="S700" s="574"/>
      <c r="T700" s="574"/>
      <c r="U700" s="574"/>
      <c r="V700" s="574"/>
      <c r="W700" s="574"/>
      <c r="X700" s="572"/>
      <c r="Y700" s="572"/>
      <c r="Z700" s="572"/>
      <c r="AB700" s="573" t="s">
        <v>668</v>
      </c>
    </row>
    <row r="701" spans="1:28" s="575" customFormat="1">
      <c r="A701" s="616"/>
      <c r="B701" s="576" t="s">
        <v>860</v>
      </c>
      <c r="C701" s="591"/>
      <c r="D701" s="617"/>
      <c r="E701" s="618">
        <v>7.4</v>
      </c>
      <c r="F701" s="619"/>
      <c r="G701" s="620">
        <v>1.1000000000000001</v>
      </c>
      <c r="H701" s="621">
        <f t="shared" si="34"/>
        <v>8.14</v>
      </c>
      <c r="I701" s="622"/>
      <c r="J701" s="623"/>
      <c r="K701" s="586">
        <f t="shared" si="33"/>
        <v>8.14</v>
      </c>
      <c r="L701" s="586"/>
      <c r="M701" s="571"/>
      <c r="N701" s="577" t="s">
        <v>611</v>
      </c>
      <c r="O701" s="577">
        <v>2</v>
      </c>
      <c r="P701" s="577" t="s">
        <v>611</v>
      </c>
      <c r="Q701" s="572"/>
      <c r="R701" s="573"/>
      <c r="S701" s="574"/>
      <c r="T701" s="574"/>
      <c r="U701" s="574"/>
      <c r="V701" s="574"/>
      <c r="W701" s="574"/>
      <c r="X701" s="572"/>
      <c r="Y701" s="572"/>
      <c r="Z701" s="572"/>
      <c r="AB701" s="573" t="s">
        <v>668</v>
      </c>
    </row>
    <row r="702" spans="1:28" s="575" customFormat="1">
      <c r="A702" s="616"/>
      <c r="B702" s="576" t="s">
        <v>863</v>
      </c>
      <c r="C702" s="591"/>
      <c r="D702" s="617"/>
      <c r="E702" s="618">
        <v>4.6500000000000004</v>
      </c>
      <c r="F702" s="619"/>
      <c r="G702" s="620">
        <v>1.1000000000000001</v>
      </c>
      <c r="H702" s="621">
        <f t="shared" si="34"/>
        <v>5.1150000000000011</v>
      </c>
      <c r="I702" s="622"/>
      <c r="J702" s="623"/>
      <c r="K702" s="586">
        <f t="shared" si="33"/>
        <v>5.1150000000000011</v>
      </c>
      <c r="L702" s="586"/>
      <c r="M702" s="571"/>
      <c r="N702" s="577" t="s">
        <v>611</v>
      </c>
      <c r="O702" s="577">
        <v>1</v>
      </c>
      <c r="P702" s="577" t="s">
        <v>611</v>
      </c>
      <c r="Q702" s="572"/>
      <c r="R702" s="573"/>
      <c r="S702" s="574"/>
      <c r="T702" s="574"/>
      <c r="U702" s="574"/>
      <c r="V702" s="574"/>
      <c r="W702" s="574"/>
      <c r="X702" s="572"/>
      <c r="Y702" s="572"/>
      <c r="Z702" s="572"/>
      <c r="AB702" s="573" t="s">
        <v>668</v>
      </c>
    </row>
    <row r="703" spans="1:28" s="575" customFormat="1">
      <c r="A703" s="616"/>
      <c r="B703" s="576" t="s">
        <v>864</v>
      </c>
      <c r="C703" s="591"/>
      <c r="D703" s="617"/>
      <c r="E703" s="618">
        <v>7.4</v>
      </c>
      <c r="F703" s="619"/>
      <c r="G703" s="620">
        <v>1.1000000000000001</v>
      </c>
      <c r="H703" s="621">
        <f t="shared" si="34"/>
        <v>8.14</v>
      </c>
      <c r="I703" s="622"/>
      <c r="J703" s="623"/>
      <c r="K703" s="586">
        <f t="shared" si="33"/>
        <v>8.14</v>
      </c>
      <c r="L703" s="586"/>
      <c r="M703" s="571"/>
      <c r="N703" s="577" t="s">
        <v>611</v>
      </c>
      <c r="O703" s="577">
        <v>2</v>
      </c>
      <c r="P703" s="577" t="s">
        <v>611</v>
      </c>
      <c r="Q703" s="572"/>
      <c r="R703" s="573"/>
      <c r="S703" s="574"/>
      <c r="T703" s="574"/>
      <c r="U703" s="574"/>
      <c r="V703" s="574"/>
      <c r="W703" s="574"/>
      <c r="X703" s="572"/>
      <c r="Y703" s="572"/>
      <c r="Z703" s="572"/>
      <c r="AB703" s="573" t="s">
        <v>668</v>
      </c>
    </row>
    <row r="704" spans="1:28" s="575" customFormat="1">
      <c r="A704" s="616"/>
      <c r="B704" s="576" t="s">
        <v>809</v>
      </c>
      <c r="C704" s="591"/>
      <c r="D704" s="617"/>
      <c r="E704" s="618">
        <v>1.8</v>
      </c>
      <c r="F704" s="619"/>
      <c r="G704" s="620">
        <v>1.1000000000000001</v>
      </c>
      <c r="H704" s="621">
        <f t="shared" si="34"/>
        <v>1.9800000000000002</v>
      </c>
      <c r="I704" s="622"/>
      <c r="J704" s="623"/>
      <c r="K704" s="586">
        <f t="shared" si="33"/>
        <v>1.9800000000000002</v>
      </c>
      <c r="L704" s="586"/>
      <c r="M704" s="571"/>
      <c r="N704" s="577" t="s">
        <v>611</v>
      </c>
      <c r="O704" s="577">
        <v>1</v>
      </c>
      <c r="P704" s="577" t="s">
        <v>611</v>
      </c>
      <c r="Q704" s="572"/>
      <c r="R704" s="573"/>
      <c r="S704" s="574"/>
      <c r="T704" s="574"/>
      <c r="U704" s="574"/>
      <c r="V704" s="574"/>
      <c r="W704" s="574"/>
      <c r="X704" s="572"/>
      <c r="Y704" s="572"/>
      <c r="Z704" s="572"/>
      <c r="AB704" s="573" t="s">
        <v>668</v>
      </c>
    </row>
    <row r="705" spans="1:28" s="575" customFormat="1">
      <c r="A705" s="616"/>
      <c r="B705" s="576" t="s">
        <v>904</v>
      </c>
      <c r="C705" s="591"/>
      <c r="D705" s="617"/>
      <c r="E705" s="618">
        <v>4.5999999999999996</v>
      </c>
      <c r="F705" s="619"/>
      <c r="G705" s="620">
        <v>1.1000000000000001</v>
      </c>
      <c r="H705" s="621">
        <f t="shared" si="34"/>
        <v>5.0599999999999996</v>
      </c>
      <c r="I705" s="622"/>
      <c r="J705" s="623"/>
      <c r="K705" s="586">
        <f t="shared" si="33"/>
        <v>5.0599999999999996</v>
      </c>
      <c r="L705" s="586"/>
      <c r="M705" s="571"/>
      <c r="N705" s="577" t="s">
        <v>611</v>
      </c>
      <c r="O705" s="577">
        <v>1</v>
      </c>
      <c r="P705" s="577" t="s">
        <v>611</v>
      </c>
      <c r="Q705" s="572"/>
      <c r="R705" s="573"/>
      <c r="S705" s="574"/>
      <c r="T705" s="574"/>
      <c r="U705" s="574"/>
      <c r="V705" s="574"/>
      <c r="W705" s="574"/>
      <c r="X705" s="572"/>
      <c r="Y705" s="572"/>
      <c r="Z705" s="572"/>
      <c r="AB705" s="573" t="s">
        <v>668</v>
      </c>
    </row>
    <row r="706" spans="1:28" s="575" customFormat="1">
      <c r="A706" s="616"/>
      <c r="B706" s="576" t="s">
        <v>866</v>
      </c>
      <c r="C706" s="591"/>
      <c r="D706" s="617"/>
      <c r="E706" s="618">
        <v>2.4</v>
      </c>
      <c r="F706" s="619"/>
      <c r="G706" s="620">
        <v>1.1000000000000001</v>
      </c>
      <c r="H706" s="621">
        <f t="shared" si="34"/>
        <v>2.64</v>
      </c>
      <c r="I706" s="622"/>
      <c r="J706" s="623"/>
      <c r="K706" s="586">
        <f t="shared" si="33"/>
        <v>2.64</v>
      </c>
      <c r="L706" s="586"/>
      <c r="M706" s="571"/>
      <c r="N706" s="577" t="s">
        <v>611</v>
      </c>
      <c r="O706" s="577">
        <v>1</v>
      </c>
      <c r="P706" s="577" t="s">
        <v>611</v>
      </c>
      <c r="Q706" s="572"/>
      <c r="R706" s="573"/>
      <c r="S706" s="574"/>
      <c r="T706" s="574"/>
      <c r="U706" s="574"/>
      <c r="V706" s="574"/>
      <c r="W706" s="574"/>
      <c r="X706" s="572"/>
      <c r="Y706" s="572"/>
      <c r="Z706" s="572"/>
      <c r="AB706" s="573"/>
    </row>
    <row r="707" spans="1:28" s="575" customFormat="1">
      <c r="A707" s="616"/>
      <c r="B707" s="576" t="s">
        <v>867</v>
      </c>
      <c r="C707" s="591"/>
      <c r="D707" s="617"/>
      <c r="E707" s="618">
        <v>7.5</v>
      </c>
      <c r="F707" s="619"/>
      <c r="G707" s="620">
        <v>1.1000000000000001</v>
      </c>
      <c r="H707" s="621">
        <f t="shared" si="34"/>
        <v>8.25</v>
      </c>
      <c r="I707" s="622"/>
      <c r="J707" s="623"/>
      <c r="K707" s="586">
        <f t="shared" si="33"/>
        <v>8.25</v>
      </c>
      <c r="L707" s="586"/>
      <c r="M707" s="571"/>
      <c r="N707" s="577" t="s">
        <v>611</v>
      </c>
      <c r="O707" s="577">
        <v>2</v>
      </c>
      <c r="P707" s="577" t="s">
        <v>611</v>
      </c>
      <c r="Q707" s="572"/>
      <c r="R707" s="573"/>
      <c r="S707" s="574"/>
      <c r="T707" s="574"/>
      <c r="U707" s="574"/>
      <c r="V707" s="574"/>
      <c r="W707" s="574"/>
      <c r="X707" s="572"/>
      <c r="Y707" s="572"/>
      <c r="Z707" s="572"/>
      <c r="AB707" s="573"/>
    </row>
    <row r="708" spans="1:28" s="575" customFormat="1">
      <c r="A708" s="616"/>
      <c r="B708" s="576" t="s">
        <v>868</v>
      </c>
      <c r="C708" s="591"/>
      <c r="D708" s="617"/>
      <c r="E708" s="618">
        <v>5</v>
      </c>
      <c r="F708" s="619"/>
      <c r="G708" s="620">
        <v>1.1000000000000001</v>
      </c>
      <c r="H708" s="621">
        <f t="shared" si="34"/>
        <v>5.5</v>
      </c>
      <c r="I708" s="622"/>
      <c r="J708" s="623"/>
      <c r="K708" s="586">
        <f t="shared" si="33"/>
        <v>5.5</v>
      </c>
      <c r="L708" s="586"/>
      <c r="M708" s="571"/>
      <c r="N708" s="577" t="s">
        <v>611</v>
      </c>
      <c r="O708" s="577">
        <v>1</v>
      </c>
      <c r="P708" s="577" t="s">
        <v>611</v>
      </c>
      <c r="Q708" s="572"/>
      <c r="R708" s="573"/>
      <c r="S708" s="574"/>
      <c r="T708" s="574"/>
      <c r="U708" s="574"/>
      <c r="V708" s="574"/>
      <c r="W708" s="574"/>
      <c r="X708" s="572"/>
      <c r="Y708" s="572"/>
      <c r="Z708" s="572"/>
      <c r="AB708" s="573" t="s">
        <v>668</v>
      </c>
    </row>
    <row r="709" spans="1:28" s="575" customFormat="1">
      <c r="A709" s="616"/>
      <c r="B709" s="576" t="s">
        <v>869</v>
      </c>
      <c r="C709" s="591"/>
      <c r="D709" s="617"/>
      <c r="E709" s="618">
        <v>1.45</v>
      </c>
      <c r="F709" s="619"/>
      <c r="G709" s="620">
        <v>1.1000000000000001</v>
      </c>
      <c r="H709" s="621">
        <f t="shared" si="34"/>
        <v>1.595</v>
      </c>
      <c r="I709" s="622"/>
      <c r="J709" s="623"/>
      <c r="K709" s="586">
        <f t="shared" si="33"/>
        <v>1.595</v>
      </c>
      <c r="L709" s="586"/>
      <c r="M709" s="571"/>
      <c r="N709" s="577" t="s">
        <v>611</v>
      </c>
      <c r="O709" s="577">
        <v>1</v>
      </c>
      <c r="P709" s="577" t="s">
        <v>611</v>
      </c>
      <c r="Q709" s="572"/>
      <c r="R709" s="573"/>
      <c r="S709" s="574"/>
      <c r="T709" s="574"/>
      <c r="U709" s="574"/>
      <c r="V709" s="574"/>
      <c r="W709" s="574"/>
      <c r="X709" s="572"/>
      <c r="Y709" s="572"/>
      <c r="Z709" s="572"/>
      <c r="AB709" s="573" t="s">
        <v>668</v>
      </c>
    </row>
    <row r="710" spans="1:28" s="575" customFormat="1">
      <c r="A710" s="616"/>
      <c r="B710" s="576" t="s">
        <v>816</v>
      </c>
      <c r="C710" s="591"/>
      <c r="D710" s="617"/>
      <c r="E710" s="618">
        <v>5.6</v>
      </c>
      <c r="F710" s="619"/>
      <c r="G710" s="620">
        <v>1.1000000000000001</v>
      </c>
      <c r="H710" s="621">
        <f t="shared" si="34"/>
        <v>6.16</v>
      </c>
      <c r="I710" s="622"/>
      <c r="J710" s="623"/>
      <c r="K710" s="586">
        <f t="shared" si="33"/>
        <v>6.16</v>
      </c>
      <c r="L710" s="586"/>
      <c r="M710" s="571"/>
      <c r="N710" s="577" t="s">
        <v>611</v>
      </c>
      <c r="O710" s="577">
        <v>1</v>
      </c>
      <c r="P710" s="577" t="s">
        <v>611</v>
      </c>
      <c r="Q710" s="572"/>
      <c r="R710" s="573"/>
      <c r="S710" s="574"/>
      <c r="T710" s="574"/>
      <c r="U710" s="574"/>
      <c r="V710" s="574"/>
      <c r="W710" s="574"/>
      <c r="X710" s="572"/>
      <c r="Y710" s="572"/>
      <c r="Z710" s="572"/>
      <c r="AB710" s="573" t="s">
        <v>668</v>
      </c>
    </row>
    <row r="711" spans="1:28" s="575" customFormat="1">
      <c r="A711" s="616"/>
      <c r="B711" s="576" t="s">
        <v>870</v>
      </c>
      <c r="C711" s="591"/>
      <c r="D711" s="617"/>
      <c r="E711" s="618">
        <v>6.21</v>
      </c>
      <c r="F711" s="619"/>
      <c r="G711" s="620">
        <v>1.1000000000000001</v>
      </c>
      <c r="H711" s="621">
        <f t="shared" si="34"/>
        <v>6.8310000000000004</v>
      </c>
      <c r="I711" s="622"/>
      <c r="J711" s="623"/>
      <c r="K711" s="586">
        <f t="shared" si="33"/>
        <v>6.8310000000000004</v>
      </c>
      <c r="L711" s="586"/>
      <c r="M711" s="571"/>
      <c r="N711" s="577" t="s">
        <v>611</v>
      </c>
      <c r="O711" s="577">
        <v>2</v>
      </c>
      <c r="P711" s="577" t="s">
        <v>611</v>
      </c>
      <c r="Q711" s="572"/>
      <c r="R711" s="573"/>
      <c r="S711" s="574"/>
      <c r="T711" s="574"/>
      <c r="U711" s="574"/>
      <c r="V711" s="574"/>
      <c r="W711" s="574"/>
      <c r="X711" s="572"/>
      <c r="Y711" s="572"/>
      <c r="Z711" s="572"/>
      <c r="AB711" s="573" t="s">
        <v>668</v>
      </c>
    </row>
    <row r="712" spans="1:28" s="575" customFormat="1">
      <c r="A712" s="616"/>
      <c r="B712" s="576" t="s">
        <v>172</v>
      </c>
      <c r="C712" s="591"/>
      <c r="D712" s="617"/>
      <c r="E712" s="618">
        <v>8.1999999999999993</v>
      </c>
      <c r="F712" s="619"/>
      <c r="G712" s="620">
        <v>1.1000000000000001</v>
      </c>
      <c r="H712" s="621">
        <f t="shared" si="34"/>
        <v>9.02</v>
      </c>
      <c r="I712" s="622"/>
      <c r="J712" s="623"/>
      <c r="K712" s="586">
        <f t="shared" si="33"/>
        <v>9.02</v>
      </c>
      <c r="L712" s="586"/>
      <c r="M712" s="571"/>
      <c r="N712" s="577" t="s">
        <v>611</v>
      </c>
      <c r="O712" s="577">
        <v>2</v>
      </c>
      <c r="P712" s="577" t="s">
        <v>611</v>
      </c>
      <c r="Q712" s="572"/>
      <c r="R712" s="573"/>
      <c r="S712" s="574"/>
      <c r="T712" s="574"/>
      <c r="U712" s="574"/>
      <c r="V712" s="574"/>
      <c r="W712" s="574"/>
      <c r="X712" s="572"/>
      <c r="Y712" s="572"/>
      <c r="Z712" s="572"/>
      <c r="AB712" s="573" t="s">
        <v>668</v>
      </c>
    </row>
    <row r="713" spans="1:28" s="575" customFormat="1">
      <c r="A713" s="616"/>
      <c r="B713" s="576" t="s">
        <v>750</v>
      </c>
      <c r="C713" s="591"/>
      <c r="D713" s="617"/>
      <c r="E713" s="618">
        <v>8.1999999999999993</v>
      </c>
      <c r="F713" s="619"/>
      <c r="G713" s="620">
        <v>1.1000000000000001</v>
      </c>
      <c r="H713" s="621">
        <f t="shared" si="34"/>
        <v>9.02</v>
      </c>
      <c r="I713" s="622"/>
      <c r="J713" s="623"/>
      <c r="K713" s="586">
        <f t="shared" si="33"/>
        <v>9.02</v>
      </c>
      <c r="L713" s="586"/>
      <c r="M713" s="571"/>
      <c r="N713" s="577" t="s">
        <v>611</v>
      </c>
      <c r="O713" s="577">
        <v>2</v>
      </c>
      <c r="P713" s="577" t="s">
        <v>611</v>
      </c>
      <c r="Q713" s="572"/>
      <c r="R713" s="573"/>
      <c r="S713" s="574"/>
      <c r="T713" s="574"/>
      <c r="U713" s="574"/>
      <c r="V713" s="574"/>
      <c r="W713" s="574"/>
      <c r="X713" s="572"/>
      <c r="Y713" s="572"/>
      <c r="Z713" s="572"/>
      <c r="AB713" s="573" t="s">
        <v>668</v>
      </c>
    </row>
    <row r="714" spans="1:28" s="575" customFormat="1">
      <c r="A714" s="616"/>
      <c r="B714" s="591" t="s">
        <v>674</v>
      </c>
      <c r="C714" s="591"/>
      <c r="D714" s="617"/>
      <c r="E714" s="618"/>
      <c r="F714" s="619"/>
      <c r="G714" s="620"/>
      <c r="H714" s="622"/>
      <c r="I714" s="622"/>
      <c r="J714" s="623"/>
      <c r="K714" s="586"/>
      <c r="L714" s="586"/>
      <c r="M714" s="571"/>
      <c r="N714" s="577" t="s">
        <v>611</v>
      </c>
      <c r="O714" s="577" t="s">
        <v>611</v>
      </c>
      <c r="P714" s="577" t="s">
        <v>611</v>
      </c>
      <c r="Q714" s="572"/>
      <c r="R714" s="573"/>
      <c r="S714" s="574"/>
      <c r="T714" s="574"/>
      <c r="U714" s="574"/>
      <c r="V714" s="574"/>
      <c r="W714" s="574"/>
      <c r="X714" s="572"/>
      <c r="Y714" s="572"/>
      <c r="Z714" s="572"/>
      <c r="AB714" s="573" t="s">
        <v>668</v>
      </c>
    </row>
    <row r="715" spans="1:28" s="575" customFormat="1">
      <c r="A715" s="616"/>
      <c r="B715" s="591" t="s">
        <v>817</v>
      </c>
      <c r="C715" s="591"/>
      <c r="D715" s="617"/>
      <c r="E715" s="618"/>
      <c r="F715" s="619"/>
      <c r="G715" s="620"/>
      <c r="H715" s="622"/>
      <c r="I715" s="622"/>
      <c r="J715" s="623"/>
      <c r="K715" s="586">
        <f t="shared" ref="K715:K717" si="35">H715</f>
        <v>0</v>
      </c>
      <c r="L715" s="586"/>
      <c r="M715" s="571"/>
      <c r="N715" s="577" t="s">
        <v>611</v>
      </c>
      <c r="O715" s="577" t="s">
        <v>611</v>
      </c>
      <c r="P715" s="577" t="s">
        <v>611</v>
      </c>
      <c r="Q715" s="572"/>
      <c r="R715" s="573"/>
      <c r="S715" s="574"/>
      <c r="T715" s="574"/>
      <c r="U715" s="574"/>
      <c r="V715" s="574"/>
      <c r="W715" s="574"/>
      <c r="X715" s="572"/>
      <c r="Y715" s="572"/>
      <c r="Z715" s="572"/>
      <c r="AB715" s="573" t="s">
        <v>668</v>
      </c>
    </row>
    <row r="716" spans="1:28" s="575" customFormat="1">
      <c r="A716" s="616"/>
      <c r="B716" s="576" t="s">
        <v>906</v>
      </c>
      <c r="C716" s="591"/>
      <c r="D716" s="617"/>
      <c r="E716" s="618">
        <v>15.3</v>
      </c>
      <c r="F716" s="619"/>
      <c r="G716" s="620">
        <v>1.1000000000000001</v>
      </c>
      <c r="H716" s="621">
        <f t="shared" ref="H716:H717" si="36">G716*E716</f>
        <v>16.830000000000002</v>
      </c>
      <c r="I716" s="622"/>
      <c r="J716" s="623"/>
      <c r="K716" s="586">
        <f t="shared" si="35"/>
        <v>16.830000000000002</v>
      </c>
      <c r="L716" s="586"/>
      <c r="M716" s="571"/>
      <c r="N716" s="577" t="s">
        <v>611</v>
      </c>
      <c r="O716" s="577">
        <v>3</v>
      </c>
      <c r="P716" s="577" t="s">
        <v>611</v>
      </c>
      <c r="Q716" s="572"/>
      <c r="R716" s="573"/>
      <c r="S716" s="574"/>
      <c r="T716" s="574"/>
      <c r="U716" s="574"/>
      <c r="V716" s="574"/>
      <c r="W716" s="574"/>
      <c r="X716" s="572"/>
      <c r="Y716" s="572"/>
      <c r="Z716" s="572"/>
      <c r="AB716" s="573" t="s">
        <v>668</v>
      </c>
    </row>
    <row r="717" spans="1:28" s="575" customFormat="1">
      <c r="A717" s="616"/>
      <c r="B717" s="576" t="s">
        <v>894</v>
      </c>
      <c r="C717" s="591"/>
      <c r="D717" s="617"/>
      <c r="E717" s="618">
        <v>10.35</v>
      </c>
      <c r="F717" s="619"/>
      <c r="G717" s="620">
        <v>1.1000000000000001</v>
      </c>
      <c r="H717" s="621">
        <f t="shared" si="36"/>
        <v>11.385</v>
      </c>
      <c r="I717" s="622"/>
      <c r="J717" s="623"/>
      <c r="K717" s="586">
        <f t="shared" si="35"/>
        <v>11.385</v>
      </c>
      <c r="L717" s="586"/>
      <c r="M717" s="571"/>
      <c r="N717" s="577" t="s">
        <v>611</v>
      </c>
      <c r="O717" s="577">
        <v>3</v>
      </c>
      <c r="P717" s="577" t="s">
        <v>611</v>
      </c>
      <c r="Q717" s="572"/>
      <c r="R717" s="573"/>
      <c r="S717" s="574"/>
      <c r="T717" s="574"/>
      <c r="U717" s="574"/>
      <c r="V717" s="574"/>
      <c r="W717" s="574"/>
      <c r="X717" s="572"/>
      <c r="Y717" s="572"/>
      <c r="Z717" s="572"/>
      <c r="AB717" s="573" t="s">
        <v>668</v>
      </c>
    </row>
    <row r="718" spans="1:28" s="575" customFormat="1">
      <c r="A718" s="616"/>
      <c r="B718" s="576" t="s">
        <v>907</v>
      </c>
      <c r="C718" s="591"/>
      <c r="D718" s="617"/>
      <c r="E718" s="618">
        <v>2.25</v>
      </c>
      <c r="F718" s="619"/>
      <c r="G718" s="620">
        <v>1.1000000000000001</v>
      </c>
      <c r="H718" s="621">
        <f>G718*E718</f>
        <v>2.4750000000000001</v>
      </c>
      <c r="I718" s="622"/>
      <c r="J718" s="623"/>
      <c r="K718" s="586">
        <f>H718</f>
        <v>2.4750000000000001</v>
      </c>
      <c r="L718" s="586"/>
      <c r="M718" s="571"/>
      <c r="N718" s="577" t="s">
        <v>611</v>
      </c>
      <c r="O718" s="577">
        <v>3</v>
      </c>
      <c r="P718" s="577" t="s">
        <v>611</v>
      </c>
      <c r="Q718" s="572"/>
      <c r="R718" s="573"/>
      <c r="S718" s="574"/>
      <c r="T718" s="574"/>
      <c r="U718" s="574"/>
      <c r="V718" s="574"/>
      <c r="W718" s="574"/>
      <c r="X718" s="572"/>
      <c r="Y718" s="572"/>
      <c r="Z718" s="572"/>
      <c r="AB718" s="573" t="s">
        <v>668</v>
      </c>
    </row>
    <row r="719" spans="1:28" s="575" customFormat="1">
      <c r="A719" s="616"/>
      <c r="B719" s="576" t="s">
        <v>897</v>
      </c>
      <c r="C719" s="591"/>
      <c r="D719" s="617"/>
      <c r="E719" s="618">
        <v>52.7</v>
      </c>
      <c r="F719" s="619"/>
      <c r="G719" s="620">
        <v>1.1000000000000001</v>
      </c>
      <c r="H719" s="621">
        <f t="shared" ref="H719:H726" si="37">G719*E719</f>
        <v>57.970000000000006</v>
      </c>
      <c r="I719" s="622"/>
      <c r="J719" s="623"/>
      <c r="K719" s="586">
        <f t="shared" ref="K719:K726" si="38">H719</f>
        <v>57.970000000000006</v>
      </c>
      <c r="L719" s="586"/>
      <c r="M719" s="571"/>
      <c r="N719" s="577" t="s">
        <v>611</v>
      </c>
      <c r="O719" s="577">
        <v>3</v>
      </c>
      <c r="P719" s="577" t="s">
        <v>611</v>
      </c>
      <c r="Q719" s="572"/>
      <c r="R719" s="573"/>
      <c r="S719" s="574"/>
      <c r="T719" s="574"/>
      <c r="U719" s="574"/>
      <c r="V719" s="574"/>
      <c r="W719" s="574"/>
      <c r="X719" s="572"/>
      <c r="Y719" s="572"/>
      <c r="Z719" s="572"/>
      <c r="AB719" s="573" t="s">
        <v>668</v>
      </c>
    </row>
    <row r="720" spans="1:28" s="575" customFormat="1">
      <c r="A720" s="616"/>
      <c r="B720" s="576" t="s">
        <v>898</v>
      </c>
      <c r="C720" s="591"/>
      <c r="D720" s="617"/>
      <c r="E720" s="618">
        <v>3.55</v>
      </c>
      <c r="F720" s="619"/>
      <c r="G720" s="620">
        <v>1.1000000000000001</v>
      </c>
      <c r="H720" s="621">
        <f t="shared" si="37"/>
        <v>3.9050000000000002</v>
      </c>
      <c r="I720" s="622"/>
      <c r="J720" s="623"/>
      <c r="K720" s="586">
        <f t="shared" si="38"/>
        <v>3.9050000000000002</v>
      </c>
      <c r="L720" s="586"/>
      <c r="M720" s="571"/>
      <c r="N720" s="577" t="s">
        <v>611</v>
      </c>
      <c r="O720" s="577">
        <v>3</v>
      </c>
      <c r="P720" s="577" t="s">
        <v>611</v>
      </c>
      <c r="Q720" s="572"/>
      <c r="R720" s="573"/>
      <c r="S720" s="574"/>
      <c r="T720" s="574"/>
      <c r="U720" s="574"/>
      <c r="V720" s="574"/>
      <c r="W720" s="574"/>
      <c r="X720" s="572"/>
      <c r="Y720" s="572"/>
      <c r="Z720" s="572"/>
      <c r="AB720" s="573" t="s">
        <v>668</v>
      </c>
    </row>
    <row r="721" spans="1:28" s="575" customFormat="1">
      <c r="A721" s="616"/>
      <c r="B721" s="576" t="s">
        <v>824</v>
      </c>
      <c r="C721" s="591"/>
      <c r="D721" s="617"/>
      <c r="E721" s="618">
        <v>54.85</v>
      </c>
      <c r="F721" s="619"/>
      <c r="G721" s="620">
        <v>0.5</v>
      </c>
      <c r="H721" s="621">
        <f t="shared" si="37"/>
        <v>27.425000000000001</v>
      </c>
      <c r="I721" s="622"/>
      <c r="J721" s="623"/>
      <c r="K721" s="586">
        <f t="shared" si="38"/>
        <v>27.425000000000001</v>
      </c>
      <c r="L721" s="586"/>
      <c r="M721" s="571"/>
      <c r="N721" s="577" t="s">
        <v>611</v>
      </c>
      <c r="O721" s="577">
        <v>3</v>
      </c>
      <c r="P721" s="577" t="s">
        <v>611</v>
      </c>
      <c r="Q721" s="572"/>
      <c r="R721" s="573"/>
      <c r="S721" s="574"/>
      <c r="T721" s="574"/>
      <c r="U721" s="574"/>
      <c r="V721" s="574"/>
      <c r="W721" s="574"/>
      <c r="X721" s="572"/>
      <c r="Y721" s="572"/>
      <c r="Z721" s="572"/>
      <c r="AB721" s="573" t="s">
        <v>668</v>
      </c>
    </row>
    <row r="722" spans="1:28" s="575" customFormat="1">
      <c r="A722" s="616"/>
      <c r="B722" s="576" t="s">
        <v>899</v>
      </c>
      <c r="C722" s="591"/>
      <c r="D722" s="617"/>
      <c r="E722" s="618">
        <v>54.55</v>
      </c>
      <c r="F722" s="619"/>
      <c r="G722" s="620">
        <v>0.5</v>
      </c>
      <c r="H722" s="621">
        <f t="shared" si="37"/>
        <v>27.274999999999999</v>
      </c>
      <c r="I722" s="622"/>
      <c r="J722" s="623"/>
      <c r="K722" s="586">
        <f t="shared" si="38"/>
        <v>27.274999999999999</v>
      </c>
      <c r="L722" s="586"/>
      <c r="M722" s="571"/>
      <c r="N722" s="577" t="s">
        <v>611</v>
      </c>
      <c r="O722" s="577">
        <v>3</v>
      </c>
      <c r="P722" s="577" t="s">
        <v>611</v>
      </c>
      <c r="Q722" s="572"/>
      <c r="R722" s="573"/>
      <c r="S722" s="574"/>
      <c r="T722" s="574"/>
      <c r="U722" s="574"/>
      <c r="V722" s="574"/>
      <c r="W722" s="574"/>
      <c r="X722" s="572"/>
      <c r="Y722" s="572"/>
      <c r="Z722" s="572"/>
      <c r="AB722" s="573" t="s">
        <v>668</v>
      </c>
    </row>
    <row r="723" spans="1:28" s="575" customFormat="1">
      <c r="A723" s="616"/>
      <c r="B723" s="576" t="s">
        <v>825</v>
      </c>
      <c r="C723" s="591"/>
      <c r="D723" s="617"/>
      <c r="E723" s="618">
        <v>14.4</v>
      </c>
      <c r="F723" s="619"/>
      <c r="G723" s="620">
        <v>1.1000000000000001</v>
      </c>
      <c r="H723" s="621">
        <f t="shared" si="37"/>
        <v>15.840000000000002</v>
      </c>
      <c r="I723" s="622"/>
      <c r="J723" s="623"/>
      <c r="K723" s="586">
        <f t="shared" si="38"/>
        <v>15.840000000000002</v>
      </c>
      <c r="L723" s="586"/>
      <c r="M723" s="571"/>
      <c r="N723" s="577" t="s">
        <v>611</v>
      </c>
      <c r="O723" s="577">
        <v>3</v>
      </c>
      <c r="P723" s="577" t="s">
        <v>611</v>
      </c>
      <c r="Q723" s="572"/>
      <c r="R723" s="573"/>
      <c r="S723" s="574"/>
      <c r="T723" s="574"/>
      <c r="U723" s="574"/>
      <c r="V723" s="574"/>
      <c r="W723" s="574"/>
      <c r="X723" s="572"/>
      <c r="Y723" s="572"/>
      <c r="Z723" s="572"/>
      <c r="AB723" s="573" t="s">
        <v>668</v>
      </c>
    </row>
    <row r="724" spans="1:28" s="575" customFormat="1">
      <c r="A724" s="616"/>
      <c r="B724" s="576" t="s">
        <v>826</v>
      </c>
      <c r="C724" s="591"/>
      <c r="D724" s="617"/>
      <c r="E724" s="618">
        <v>25.4</v>
      </c>
      <c r="F724" s="619"/>
      <c r="G724" s="620">
        <v>1.1000000000000001</v>
      </c>
      <c r="H724" s="621">
        <f t="shared" si="37"/>
        <v>27.94</v>
      </c>
      <c r="I724" s="622"/>
      <c r="J724" s="623"/>
      <c r="K724" s="586">
        <f t="shared" si="38"/>
        <v>27.94</v>
      </c>
      <c r="L724" s="586"/>
      <c r="M724" s="571"/>
      <c r="N724" s="577" t="s">
        <v>611</v>
      </c>
      <c r="O724" s="577">
        <v>3</v>
      </c>
      <c r="P724" s="577" t="s">
        <v>611</v>
      </c>
      <c r="Q724" s="572"/>
      <c r="R724" s="573"/>
      <c r="S724" s="574"/>
      <c r="T724" s="574"/>
      <c r="U724" s="574"/>
      <c r="V724" s="574"/>
      <c r="W724" s="574"/>
      <c r="X724" s="572"/>
      <c r="Y724" s="572"/>
      <c r="Z724" s="572"/>
      <c r="AB724" s="573" t="s">
        <v>668</v>
      </c>
    </row>
    <row r="725" spans="1:28" s="575" customFormat="1">
      <c r="A725" s="616"/>
      <c r="B725" s="576" t="s">
        <v>827</v>
      </c>
      <c r="C725" s="591"/>
      <c r="D725" s="617"/>
      <c r="E725" s="618">
        <v>30.1</v>
      </c>
      <c r="F725" s="619"/>
      <c r="G725" s="620">
        <v>1.1000000000000001</v>
      </c>
      <c r="H725" s="621">
        <f t="shared" si="37"/>
        <v>33.110000000000007</v>
      </c>
      <c r="I725" s="622"/>
      <c r="J725" s="623"/>
      <c r="K725" s="586">
        <f t="shared" si="38"/>
        <v>33.110000000000007</v>
      </c>
      <c r="L725" s="586"/>
      <c r="M725" s="571"/>
      <c r="N725" s="577" t="s">
        <v>611</v>
      </c>
      <c r="O725" s="577">
        <v>3</v>
      </c>
      <c r="P725" s="577" t="s">
        <v>611</v>
      </c>
      <c r="Q725" s="572"/>
      <c r="R725" s="573"/>
      <c r="S725" s="574"/>
      <c r="T725" s="574"/>
      <c r="U725" s="574"/>
      <c r="V725" s="574"/>
      <c r="W725" s="574"/>
      <c r="X725" s="572"/>
      <c r="Y725" s="572"/>
      <c r="Z725" s="572"/>
      <c r="AB725" s="573" t="s">
        <v>668</v>
      </c>
    </row>
    <row r="726" spans="1:28" s="575" customFormat="1">
      <c r="A726" s="616"/>
      <c r="B726" s="576" t="s">
        <v>832</v>
      </c>
      <c r="C726" s="591"/>
      <c r="D726" s="617"/>
      <c r="E726" s="618">
        <v>9.1</v>
      </c>
      <c r="F726" s="619"/>
      <c r="G726" s="620">
        <v>1.1000000000000001</v>
      </c>
      <c r="H726" s="621">
        <f t="shared" si="37"/>
        <v>10.01</v>
      </c>
      <c r="I726" s="622"/>
      <c r="J726" s="623"/>
      <c r="K726" s="586">
        <f t="shared" si="38"/>
        <v>10.01</v>
      </c>
      <c r="L726" s="586"/>
      <c r="M726" s="571"/>
      <c r="N726" s="577" t="s">
        <v>611</v>
      </c>
      <c r="O726" s="577">
        <v>3</v>
      </c>
      <c r="P726" s="577" t="s">
        <v>611</v>
      </c>
      <c r="Q726" s="572"/>
      <c r="R726" s="573"/>
      <c r="S726" s="574"/>
      <c r="T726" s="574"/>
      <c r="U726" s="574"/>
      <c r="V726" s="574"/>
      <c r="W726" s="574"/>
      <c r="X726" s="572"/>
      <c r="Y726" s="572"/>
      <c r="Z726" s="572"/>
      <c r="AB726" s="573" t="s">
        <v>668</v>
      </c>
    </row>
    <row r="727" spans="1:28" s="575" customFormat="1">
      <c r="A727" s="616"/>
      <c r="B727" s="591" t="s">
        <v>828</v>
      </c>
      <c r="C727" s="591"/>
      <c r="D727" s="617"/>
      <c r="E727" s="618"/>
      <c r="F727" s="619"/>
      <c r="G727" s="620"/>
      <c r="H727" s="621"/>
      <c r="I727" s="622"/>
      <c r="J727" s="623"/>
      <c r="K727" s="586"/>
      <c r="L727" s="586"/>
      <c r="M727" s="571"/>
      <c r="N727" s="577" t="s">
        <v>611</v>
      </c>
      <c r="O727" s="577" t="s">
        <v>611</v>
      </c>
      <c r="P727" s="577" t="s">
        <v>611</v>
      </c>
      <c r="Q727" s="572"/>
      <c r="R727" s="573"/>
      <c r="S727" s="574"/>
      <c r="T727" s="574"/>
      <c r="U727" s="574"/>
      <c r="V727" s="574"/>
      <c r="W727" s="574"/>
      <c r="X727" s="572"/>
      <c r="Y727" s="572"/>
      <c r="Z727" s="572"/>
      <c r="AB727" s="573" t="s">
        <v>668</v>
      </c>
    </row>
    <row r="728" spans="1:28" s="575" customFormat="1">
      <c r="A728" s="616"/>
      <c r="B728" s="576" t="s">
        <v>673</v>
      </c>
      <c r="C728" s="591"/>
      <c r="D728" s="617"/>
      <c r="E728" s="618">
        <v>42.35</v>
      </c>
      <c r="F728" s="619"/>
      <c r="G728" s="620">
        <v>2.2000000000000002</v>
      </c>
      <c r="H728" s="621">
        <f>G728*E728</f>
        <v>93.170000000000016</v>
      </c>
      <c r="I728" s="622"/>
      <c r="J728" s="623"/>
      <c r="K728" s="586">
        <f t="shared" ref="K728" si="39">H728</f>
        <v>93.170000000000016</v>
      </c>
      <c r="L728" s="586"/>
      <c r="M728" s="571"/>
      <c r="N728" s="577" t="s">
        <v>611</v>
      </c>
      <c r="O728" s="577">
        <v>3</v>
      </c>
      <c r="P728" s="577" t="s">
        <v>611</v>
      </c>
      <c r="Q728" s="572"/>
      <c r="R728" s="573"/>
      <c r="S728" s="574"/>
      <c r="T728" s="574"/>
      <c r="U728" s="574"/>
      <c r="V728" s="574"/>
      <c r="W728" s="574"/>
      <c r="X728" s="572"/>
      <c r="Y728" s="572"/>
      <c r="Z728" s="572"/>
      <c r="AB728" s="573" t="s">
        <v>668</v>
      </c>
    </row>
    <row r="729" spans="1:28" s="575" customFormat="1">
      <c r="A729" s="616"/>
      <c r="B729" s="576" t="s">
        <v>900</v>
      </c>
      <c r="C729" s="591"/>
      <c r="D729" s="617"/>
      <c r="E729" s="618">
        <v>40.69</v>
      </c>
      <c r="F729" s="619"/>
      <c r="G729" s="620">
        <v>2.2000000000000002</v>
      </c>
      <c r="H729" s="621">
        <f>G729*E729</f>
        <v>89.518000000000001</v>
      </c>
      <c r="I729" s="622"/>
      <c r="J729" s="623"/>
      <c r="K729" s="586">
        <f>H729</f>
        <v>89.518000000000001</v>
      </c>
      <c r="L729" s="586"/>
      <c r="M729" s="571"/>
      <c r="N729" s="577" t="s">
        <v>611</v>
      </c>
      <c r="O729" s="577">
        <v>3</v>
      </c>
      <c r="P729" s="577" t="s">
        <v>611</v>
      </c>
      <c r="Q729" s="572"/>
      <c r="R729" s="573"/>
      <c r="S729" s="574"/>
      <c r="T729" s="574"/>
      <c r="U729" s="574"/>
      <c r="V729" s="574"/>
      <c r="W729" s="574"/>
      <c r="X729" s="572"/>
      <c r="Y729" s="572"/>
      <c r="Z729" s="572"/>
      <c r="AB729" s="573" t="s">
        <v>668</v>
      </c>
    </row>
    <row r="730" spans="1:28" s="575" customFormat="1">
      <c r="A730" s="616"/>
      <c r="B730" s="576" t="s">
        <v>829</v>
      </c>
      <c r="C730" s="591"/>
      <c r="D730" s="617"/>
      <c r="E730" s="618">
        <v>92.83</v>
      </c>
      <c r="F730" s="619"/>
      <c r="G730" s="620">
        <v>2.2000000000000002</v>
      </c>
      <c r="H730" s="621">
        <f t="shared" ref="H730:H735" si="40">G730*E730</f>
        <v>204.226</v>
      </c>
      <c r="I730" s="622"/>
      <c r="J730" s="623"/>
      <c r="K730" s="586">
        <f t="shared" ref="K730:K735" si="41">H730</f>
        <v>204.226</v>
      </c>
      <c r="L730" s="586"/>
      <c r="M730" s="571"/>
      <c r="N730" s="577" t="s">
        <v>611</v>
      </c>
      <c r="O730" s="577">
        <v>3</v>
      </c>
      <c r="P730" s="577" t="s">
        <v>611</v>
      </c>
      <c r="Q730" s="572"/>
      <c r="R730" s="573"/>
      <c r="S730" s="574"/>
      <c r="T730" s="574"/>
      <c r="U730" s="574"/>
      <c r="V730" s="574"/>
      <c r="W730" s="574"/>
      <c r="X730" s="572"/>
      <c r="Y730" s="572"/>
      <c r="Z730" s="572"/>
      <c r="AB730" s="573" t="s">
        <v>668</v>
      </c>
    </row>
    <row r="731" spans="1:28" s="575" customFormat="1">
      <c r="A731" s="616"/>
      <c r="B731" s="576" t="s">
        <v>830</v>
      </c>
      <c r="C731" s="591"/>
      <c r="D731" s="617"/>
      <c r="E731" s="618">
        <v>59.7</v>
      </c>
      <c r="F731" s="619"/>
      <c r="G731" s="620">
        <v>2.2000000000000002</v>
      </c>
      <c r="H731" s="621">
        <f t="shared" si="40"/>
        <v>131.34</v>
      </c>
      <c r="I731" s="622"/>
      <c r="J731" s="623"/>
      <c r="K731" s="586">
        <f t="shared" si="41"/>
        <v>131.34</v>
      </c>
      <c r="L731" s="586"/>
      <c r="M731" s="571"/>
      <c r="N731" s="577" t="s">
        <v>611</v>
      </c>
      <c r="O731" s="577">
        <v>3</v>
      </c>
      <c r="P731" s="577" t="s">
        <v>611</v>
      </c>
      <c r="Q731" s="572"/>
      <c r="R731" s="573"/>
      <c r="S731" s="574"/>
      <c r="T731" s="574"/>
      <c r="U731" s="574"/>
      <c r="V731" s="574"/>
      <c r="W731" s="574"/>
      <c r="X731" s="572"/>
      <c r="Y731" s="572"/>
      <c r="Z731" s="572"/>
      <c r="AB731" s="573" t="s">
        <v>668</v>
      </c>
    </row>
    <row r="732" spans="1:28" s="575" customFormat="1">
      <c r="A732" s="616"/>
      <c r="B732" s="576" t="s">
        <v>831</v>
      </c>
      <c r="C732" s="591"/>
      <c r="D732" s="617"/>
      <c r="E732" s="618">
        <v>88.13</v>
      </c>
      <c r="F732" s="619"/>
      <c r="G732" s="620">
        <v>1.8</v>
      </c>
      <c r="H732" s="621">
        <f t="shared" si="40"/>
        <v>158.63399999999999</v>
      </c>
      <c r="I732" s="622"/>
      <c r="J732" s="623"/>
      <c r="K732" s="586">
        <f t="shared" si="41"/>
        <v>158.63399999999999</v>
      </c>
      <c r="L732" s="586"/>
      <c r="M732" s="571"/>
      <c r="N732" s="577" t="s">
        <v>611</v>
      </c>
      <c r="O732" s="577">
        <v>3</v>
      </c>
      <c r="P732" s="577" t="s">
        <v>611</v>
      </c>
      <c r="Q732" s="572"/>
      <c r="R732" s="573"/>
      <c r="S732" s="574"/>
      <c r="T732" s="574"/>
      <c r="U732" s="574"/>
      <c r="V732" s="574"/>
      <c r="W732" s="574"/>
      <c r="X732" s="572"/>
      <c r="Y732" s="572"/>
      <c r="Z732" s="572"/>
      <c r="AB732" s="573" t="s">
        <v>668</v>
      </c>
    </row>
    <row r="733" spans="1:28" s="575" customFormat="1">
      <c r="A733" s="616"/>
      <c r="B733" s="576" t="s">
        <v>901</v>
      </c>
      <c r="C733" s="591"/>
      <c r="D733" s="617"/>
      <c r="E733" s="618">
        <v>88.43</v>
      </c>
      <c r="F733" s="619"/>
      <c r="G733" s="620">
        <v>2.2000000000000002</v>
      </c>
      <c r="H733" s="621">
        <f t="shared" si="40"/>
        <v>194.54600000000002</v>
      </c>
      <c r="I733" s="622"/>
      <c r="J733" s="623"/>
      <c r="K733" s="586">
        <f t="shared" si="41"/>
        <v>194.54600000000002</v>
      </c>
      <c r="L733" s="586"/>
      <c r="M733" s="571"/>
      <c r="N733" s="577" t="s">
        <v>611</v>
      </c>
      <c r="O733" s="577">
        <v>3</v>
      </c>
      <c r="P733" s="577" t="s">
        <v>611</v>
      </c>
      <c r="Q733" s="572"/>
      <c r="R733" s="573"/>
      <c r="S733" s="574"/>
      <c r="T733" s="574"/>
      <c r="U733" s="574"/>
      <c r="V733" s="574"/>
      <c r="W733" s="574"/>
      <c r="X733" s="572"/>
      <c r="Y733" s="572"/>
      <c r="Z733" s="572"/>
      <c r="AB733" s="573" t="s">
        <v>668</v>
      </c>
    </row>
    <row r="734" spans="1:28" s="575" customFormat="1">
      <c r="A734" s="616"/>
      <c r="B734" s="576" t="s">
        <v>902</v>
      </c>
      <c r="C734" s="591"/>
      <c r="D734" s="617"/>
      <c r="E734" s="618">
        <v>60</v>
      </c>
      <c r="F734" s="619"/>
      <c r="G734" s="620">
        <v>2.2000000000000002</v>
      </c>
      <c r="H734" s="621">
        <f t="shared" si="40"/>
        <v>132</v>
      </c>
      <c r="I734" s="622"/>
      <c r="J734" s="623"/>
      <c r="K734" s="586">
        <f t="shared" si="41"/>
        <v>132</v>
      </c>
      <c r="L734" s="586"/>
      <c r="M734" s="571"/>
      <c r="N734" s="577" t="s">
        <v>611</v>
      </c>
      <c r="O734" s="577">
        <v>3</v>
      </c>
      <c r="P734" s="577" t="s">
        <v>611</v>
      </c>
      <c r="Q734" s="572"/>
      <c r="R734" s="573"/>
      <c r="S734" s="574"/>
      <c r="T734" s="574"/>
      <c r="U734" s="574"/>
      <c r="V734" s="574"/>
      <c r="W734" s="574"/>
      <c r="X734" s="572"/>
      <c r="Y734" s="572"/>
      <c r="Z734" s="572"/>
      <c r="AB734" s="573" t="s">
        <v>668</v>
      </c>
    </row>
    <row r="735" spans="1:28" s="575" customFormat="1">
      <c r="A735" s="616"/>
      <c r="B735" s="576" t="s">
        <v>903</v>
      </c>
      <c r="C735" s="591"/>
      <c r="D735" s="617"/>
      <c r="E735" s="618">
        <v>99.93</v>
      </c>
      <c r="F735" s="619"/>
      <c r="G735" s="620">
        <v>1.8</v>
      </c>
      <c r="H735" s="621">
        <f t="shared" si="40"/>
        <v>179.87400000000002</v>
      </c>
      <c r="I735" s="622"/>
      <c r="J735" s="623"/>
      <c r="K735" s="586">
        <f t="shared" si="41"/>
        <v>179.87400000000002</v>
      </c>
      <c r="L735" s="586"/>
      <c r="M735" s="571"/>
      <c r="N735" s="577" t="s">
        <v>611</v>
      </c>
      <c r="O735" s="577">
        <v>3</v>
      </c>
      <c r="P735" s="577" t="s">
        <v>611</v>
      </c>
      <c r="Q735" s="572"/>
      <c r="R735" s="573"/>
      <c r="S735" s="574"/>
      <c r="T735" s="574"/>
      <c r="U735" s="574"/>
      <c r="V735" s="574"/>
      <c r="W735" s="574"/>
      <c r="X735" s="572"/>
      <c r="Y735" s="572"/>
      <c r="Z735" s="572"/>
      <c r="AB735" s="573" t="s">
        <v>668</v>
      </c>
    </row>
    <row r="736" spans="1:28" s="575" customFormat="1">
      <c r="A736" s="616"/>
      <c r="B736" s="576"/>
      <c r="C736" s="591"/>
      <c r="D736" s="617"/>
      <c r="E736" s="618"/>
      <c r="F736" s="619"/>
      <c r="G736" s="620"/>
      <c r="H736" s="621"/>
      <c r="I736" s="621"/>
      <c r="J736" s="623"/>
      <c r="K736" s="586"/>
      <c r="L736" s="586"/>
      <c r="M736" s="571"/>
      <c r="N736" s="588"/>
      <c r="O736" s="588"/>
      <c r="P736" s="589"/>
      <c r="Q736" s="572"/>
      <c r="R736" s="573"/>
      <c r="S736" s="574"/>
      <c r="T736" s="574"/>
      <c r="U736" s="574"/>
      <c r="V736" s="574"/>
      <c r="W736" s="574"/>
      <c r="X736" s="572"/>
      <c r="Y736" s="572"/>
      <c r="Z736" s="572"/>
      <c r="AB736" s="573"/>
    </row>
    <row r="737" spans="1:28" s="478" customFormat="1" ht="29.25" customHeight="1">
      <c r="A737" s="463" t="s">
        <v>1007</v>
      </c>
      <c r="B737" s="464" t="s">
        <v>1008</v>
      </c>
      <c r="C737" s="465" t="s">
        <v>195</v>
      </c>
      <c r="D737" s="466"/>
      <c r="E737" s="467"/>
      <c r="F737" s="468"/>
      <c r="G737" s="469"/>
      <c r="H737" s="470"/>
      <c r="I737" s="470"/>
      <c r="J737" s="472"/>
      <c r="K737" s="473"/>
      <c r="L737" s="473"/>
      <c r="M737" s="474"/>
      <c r="N737" s="479"/>
      <c r="O737" s="479"/>
      <c r="P737" s="480"/>
      <c r="Q737" s="475"/>
      <c r="R737" s="476"/>
      <c r="S737" s="477"/>
      <c r="T737" s="477"/>
      <c r="U737" s="477"/>
      <c r="V737" s="477"/>
      <c r="W737" s="477"/>
      <c r="X737" s="475"/>
      <c r="Y737" s="475"/>
      <c r="Z737" s="475"/>
      <c r="AB737" s="476"/>
    </row>
    <row r="738" spans="1:28" s="575" customFormat="1">
      <c r="A738" s="616"/>
      <c r="B738" s="570" t="s">
        <v>669</v>
      </c>
      <c r="C738" s="591"/>
      <c r="D738" s="617"/>
      <c r="E738" s="618"/>
      <c r="F738" s="619"/>
      <c r="G738" s="620"/>
      <c r="H738" s="621"/>
      <c r="I738" s="622"/>
      <c r="J738" s="623"/>
      <c r="K738" s="586"/>
      <c r="L738" s="586"/>
      <c r="M738" s="571"/>
      <c r="N738" s="577" t="s">
        <v>611</v>
      </c>
      <c r="O738" s="577" t="s">
        <v>611</v>
      </c>
      <c r="P738" s="577" t="s">
        <v>611</v>
      </c>
      <c r="Q738" s="572"/>
      <c r="R738" s="573"/>
      <c r="S738" s="574"/>
      <c r="T738" s="574"/>
      <c r="U738" s="574"/>
      <c r="V738" s="574"/>
      <c r="W738" s="574"/>
      <c r="X738" s="572"/>
      <c r="Y738" s="572"/>
      <c r="Z738" s="572"/>
      <c r="AB738" s="573" t="s">
        <v>668</v>
      </c>
    </row>
    <row r="739" spans="1:28" s="575" customFormat="1">
      <c r="A739" s="616"/>
      <c r="B739" s="591" t="s">
        <v>674</v>
      </c>
      <c r="C739" s="591"/>
      <c r="D739" s="617"/>
      <c r="E739" s="618"/>
      <c r="F739" s="619"/>
      <c r="G739" s="620"/>
      <c r="H739" s="621"/>
      <c r="I739" s="621"/>
      <c r="J739" s="623"/>
      <c r="K739" s="586"/>
      <c r="L739" s="586"/>
      <c r="M739" s="571"/>
      <c r="N739" s="588"/>
      <c r="O739" s="588"/>
      <c r="P739" s="589"/>
      <c r="Q739" s="572"/>
      <c r="R739" s="573"/>
      <c r="S739" s="574"/>
      <c r="T739" s="574"/>
      <c r="U739" s="574"/>
      <c r="V739" s="574"/>
      <c r="W739" s="574"/>
      <c r="X739" s="572"/>
      <c r="Y739" s="572"/>
      <c r="Z739" s="572"/>
      <c r="AB739" s="573"/>
    </row>
    <row r="740" spans="1:28" s="575" customFormat="1">
      <c r="A740" s="616"/>
      <c r="B740" s="576" t="s">
        <v>879</v>
      </c>
      <c r="C740" s="591"/>
      <c r="D740" s="617"/>
      <c r="E740" s="618">
        <f>(278.13+1.21)-7.04</f>
        <v>272.29999999999995</v>
      </c>
      <c r="F740" s="619"/>
      <c r="G740" s="620"/>
      <c r="H740" s="621"/>
      <c r="I740" s="621"/>
      <c r="J740" s="623"/>
      <c r="K740" s="586"/>
      <c r="L740" s="586"/>
      <c r="M740" s="571"/>
      <c r="N740" s="588"/>
      <c r="O740" s="588"/>
      <c r="P740" s="589"/>
      <c r="Q740" s="572"/>
      <c r="R740" s="573"/>
      <c r="S740" s="574"/>
      <c r="T740" s="574"/>
      <c r="U740" s="574"/>
      <c r="V740" s="574"/>
      <c r="W740" s="574"/>
      <c r="X740" s="572"/>
      <c r="Y740" s="572"/>
      <c r="Z740" s="572"/>
      <c r="AB740" s="573"/>
    </row>
    <row r="741" spans="1:28" s="575" customFormat="1">
      <c r="A741" s="616"/>
      <c r="B741" s="576" t="s">
        <v>880</v>
      </c>
      <c r="C741" s="591"/>
      <c r="D741" s="617"/>
      <c r="E741" s="618">
        <v>141.35</v>
      </c>
      <c r="F741" s="619"/>
      <c r="G741" s="620"/>
      <c r="H741" s="621"/>
      <c r="I741" s="621"/>
      <c r="J741" s="623"/>
      <c r="K741" s="586"/>
      <c r="L741" s="586"/>
      <c r="M741" s="571"/>
      <c r="N741" s="588"/>
      <c r="O741" s="588"/>
      <c r="P741" s="589"/>
      <c r="Q741" s="572"/>
      <c r="R741" s="573"/>
      <c r="S741" s="574"/>
      <c r="T741" s="574"/>
      <c r="U741" s="574"/>
      <c r="V741" s="574"/>
      <c r="W741" s="574"/>
      <c r="X741" s="572"/>
      <c r="Y741" s="572"/>
      <c r="Z741" s="572"/>
      <c r="AB741" s="573"/>
    </row>
    <row r="742" spans="1:28" s="575" customFormat="1">
      <c r="A742" s="616"/>
      <c r="B742" s="576" t="s">
        <v>881</v>
      </c>
      <c r="C742" s="591"/>
      <c r="D742" s="617"/>
      <c r="E742" s="618">
        <f>3+0.2+2.65</f>
        <v>5.85</v>
      </c>
      <c r="F742" s="619"/>
      <c r="G742" s="620"/>
      <c r="H742" s="621"/>
      <c r="I742" s="621"/>
      <c r="J742" s="623"/>
      <c r="K742" s="586"/>
      <c r="L742" s="586"/>
      <c r="M742" s="571"/>
      <c r="N742" s="588"/>
      <c r="O742" s="588"/>
      <c r="P742" s="589"/>
      <c r="Q742" s="572"/>
      <c r="R742" s="573"/>
      <c r="S742" s="574"/>
      <c r="T742" s="574"/>
      <c r="U742" s="574"/>
      <c r="V742" s="574"/>
      <c r="W742" s="574"/>
      <c r="X742" s="572"/>
      <c r="Y742" s="572"/>
      <c r="Z742" s="572"/>
      <c r="AB742" s="573"/>
    </row>
    <row r="743" spans="1:28" s="575" customFormat="1">
      <c r="A743" s="616"/>
      <c r="B743" s="576" t="s">
        <v>882</v>
      </c>
      <c r="C743" s="591"/>
      <c r="D743" s="617"/>
      <c r="E743" s="618">
        <v>43.98</v>
      </c>
      <c r="F743" s="619"/>
      <c r="G743" s="620"/>
      <c r="H743" s="621"/>
      <c r="I743" s="621"/>
      <c r="J743" s="623"/>
      <c r="K743" s="586"/>
      <c r="L743" s="586"/>
      <c r="M743" s="571"/>
      <c r="N743" s="588"/>
      <c r="O743" s="588"/>
      <c r="P743" s="589"/>
      <c r="Q743" s="572"/>
      <c r="R743" s="573"/>
      <c r="S743" s="574"/>
      <c r="T743" s="574"/>
      <c r="U743" s="574"/>
      <c r="V743" s="574"/>
      <c r="W743" s="574"/>
      <c r="X743" s="572"/>
      <c r="Y743" s="572"/>
      <c r="Z743" s="572"/>
      <c r="AB743" s="573"/>
    </row>
    <row r="744" spans="1:28" s="575" customFormat="1">
      <c r="A744" s="616"/>
      <c r="B744" s="576"/>
      <c r="C744" s="591"/>
      <c r="D744" s="617"/>
      <c r="E744" s="618"/>
      <c r="F744" s="619"/>
      <c r="G744" s="620"/>
      <c r="H744" s="621"/>
      <c r="I744" s="621"/>
      <c r="J744" s="623"/>
      <c r="K744" s="586"/>
      <c r="L744" s="586"/>
      <c r="M744" s="571"/>
      <c r="N744" s="588"/>
      <c r="O744" s="588"/>
      <c r="P744" s="589"/>
      <c r="Q744" s="572"/>
      <c r="R744" s="573"/>
      <c r="S744" s="574"/>
      <c r="T744" s="574"/>
      <c r="U744" s="574"/>
      <c r="V744" s="574"/>
      <c r="W744" s="574"/>
      <c r="X744" s="572"/>
      <c r="Y744" s="572"/>
      <c r="Z744" s="572"/>
      <c r="AB744" s="573"/>
    </row>
    <row r="745" spans="1:28" s="575" customFormat="1">
      <c r="A745" s="616"/>
      <c r="B745" s="576"/>
      <c r="C745" s="591"/>
      <c r="D745" s="617"/>
      <c r="E745" s="618"/>
      <c r="F745" s="619"/>
      <c r="G745" s="620"/>
      <c r="H745" s="621"/>
      <c r="I745" s="621"/>
      <c r="J745" s="623"/>
      <c r="K745" s="586"/>
      <c r="L745" s="586"/>
      <c r="M745" s="571"/>
      <c r="N745" s="588"/>
      <c r="O745" s="588"/>
      <c r="P745" s="589"/>
      <c r="Q745" s="572"/>
      <c r="R745" s="573"/>
      <c r="S745" s="574"/>
      <c r="T745" s="574"/>
      <c r="U745" s="574"/>
      <c r="V745" s="574"/>
      <c r="W745" s="574"/>
      <c r="X745" s="572"/>
      <c r="Y745" s="572"/>
      <c r="Z745" s="572"/>
      <c r="AB745" s="573"/>
    </row>
    <row r="746" spans="1:28" s="478" customFormat="1" ht="29.25" customHeight="1">
      <c r="A746" s="463" t="s">
        <v>1009</v>
      </c>
      <c r="B746" s="464" t="s">
        <v>1010</v>
      </c>
      <c r="C746" s="465" t="s">
        <v>195</v>
      </c>
      <c r="D746" s="466"/>
      <c r="E746" s="467"/>
      <c r="F746" s="468"/>
      <c r="G746" s="469"/>
      <c r="H746" s="470"/>
      <c r="I746" s="470"/>
      <c r="J746" s="472"/>
      <c r="K746" s="473"/>
      <c r="L746" s="473"/>
      <c r="M746" s="474"/>
      <c r="N746" s="479"/>
      <c r="O746" s="479"/>
      <c r="P746" s="480"/>
      <c r="Q746" s="475"/>
      <c r="R746" s="476"/>
      <c r="S746" s="477"/>
      <c r="T746" s="477"/>
      <c r="U746" s="477"/>
      <c r="V746" s="477"/>
      <c r="W746" s="477"/>
      <c r="X746" s="475"/>
      <c r="Y746" s="475"/>
      <c r="Z746" s="475"/>
      <c r="AB746" s="476"/>
    </row>
    <row r="747" spans="1:28" s="575" customFormat="1" ht="33.75" customHeight="1">
      <c r="A747" s="616"/>
      <c r="B747" s="570" t="s">
        <v>669</v>
      </c>
      <c r="C747" s="591"/>
      <c r="D747" s="617"/>
      <c r="E747" s="618"/>
      <c r="F747" s="619"/>
      <c r="G747" s="620"/>
      <c r="H747" s="621"/>
      <c r="I747" s="622"/>
      <c r="J747" s="623"/>
      <c r="K747" s="586"/>
      <c r="L747" s="586"/>
      <c r="M747" s="571"/>
      <c r="N747" s="577" t="s">
        <v>611</v>
      </c>
      <c r="O747" s="577" t="s">
        <v>611</v>
      </c>
      <c r="P747" s="577" t="s">
        <v>611</v>
      </c>
      <c r="Q747" s="572"/>
      <c r="R747" s="573"/>
      <c r="S747" s="574"/>
      <c r="T747" s="574"/>
      <c r="U747" s="574"/>
      <c r="V747" s="574"/>
      <c r="W747" s="574"/>
      <c r="X747" s="572"/>
      <c r="Y747" s="572"/>
      <c r="Z747" s="572"/>
      <c r="AB747" s="573" t="s">
        <v>668</v>
      </c>
    </row>
    <row r="748" spans="1:28" s="575" customFormat="1">
      <c r="A748" s="616"/>
      <c r="B748" s="591" t="s">
        <v>674</v>
      </c>
      <c r="C748" s="591"/>
      <c r="D748" s="617"/>
      <c r="E748" s="618"/>
      <c r="F748" s="619"/>
      <c r="G748" s="620"/>
      <c r="H748" s="621"/>
      <c r="I748" s="621"/>
      <c r="J748" s="623"/>
      <c r="K748" s="586"/>
      <c r="L748" s="586"/>
      <c r="M748" s="571"/>
      <c r="N748" s="588"/>
      <c r="O748" s="588"/>
      <c r="P748" s="589"/>
      <c r="Q748" s="572"/>
      <c r="R748" s="573"/>
      <c r="S748" s="574"/>
      <c r="T748" s="574"/>
      <c r="U748" s="574"/>
      <c r="V748" s="574"/>
      <c r="W748" s="574"/>
      <c r="X748" s="572"/>
      <c r="Y748" s="572"/>
      <c r="Z748" s="572"/>
      <c r="AB748" s="573"/>
    </row>
    <row r="749" spans="1:28" s="575" customFormat="1">
      <c r="A749" s="616"/>
      <c r="B749" s="576" t="s">
        <v>883</v>
      </c>
      <c r="C749" s="591"/>
      <c r="D749" s="617">
        <v>1</v>
      </c>
      <c r="E749" s="618">
        <v>29.9</v>
      </c>
      <c r="F749" s="619">
        <v>0.15</v>
      </c>
      <c r="G749" s="620"/>
      <c r="H749" s="621">
        <f>D749*E749*F749</f>
        <v>4.4849999999999994</v>
      </c>
      <c r="I749" s="621"/>
      <c r="J749" s="623"/>
      <c r="K749" s="586"/>
      <c r="L749" s="586"/>
      <c r="M749" s="571"/>
      <c r="N749" s="588"/>
      <c r="O749" s="588"/>
      <c r="P749" s="589"/>
      <c r="Q749" s="572"/>
      <c r="R749" s="573"/>
      <c r="S749" s="574"/>
      <c r="T749" s="574"/>
      <c r="U749" s="574"/>
      <c r="V749" s="574"/>
      <c r="W749" s="574"/>
      <c r="X749" s="572"/>
      <c r="Y749" s="572"/>
      <c r="Z749" s="572"/>
      <c r="AB749" s="573"/>
    </row>
    <row r="750" spans="1:28" s="575" customFormat="1">
      <c r="A750" s="616"/>
      <c r="B750" s="576" t="s">
        <v>884</v>
      </c>
      <c r="C750" s="591"/>
      <c r="D750" s="617">
        <v>12</v>
      </c>
      <c r="E750" s="618">
        <v>5</v>
      </c>
      <c r="F750" s="619">
        <v>0.15</v>
      </c>
      <c r="G750" s="620"/>
      <c r="H750" s="621">
        <f>D750*E750*F750</f>
        <v>9</v>
      </c>
      <c r="I750" s="621"/>
      <c r="J750" s="623"/>
      <c r="K750" s="586"/>
      <c r="L750" s="586"/>
      <c r="M750" s="571"/>
      <c r="N750" s="588"/>
      <c r="O750" s="588"/>
      <c r="P750" s="589"/>
      <c r="Q750" s="572"/>
      <c r="R750" s="573"/>
      <c r="S750" s="574"/>
      <c r="T750" s="574"/>
      <c r="U750" s="574"/>
      <c r="V750" s="574"/>
      <c r="W750" s="574"/>
      <c r="X750" s="572"/>
      <c r="Y750" s="572"/>
      <c r="Z750" s="572"/>
      <c r="AB750" s="573"/>
    </row>
    <row r="751" spans="1:28" s="575" customFormat="1">
      <c r="A751" s="616"/>
      <c r="B751" s="576" t="s">
        <v>885</v>
      </c>
      <c r="C751" s="591"/>
      <c r="D751" s="617">
        <v>1</v>
      </c>
      <c r="E751" s="618">
        <v>2.2999999999999998</v>
      </c>
      <c r="F751" s="619">
        <v>5</v>
      </c>
      <c r="G751" s="620"/>
      <c r="H751" s="621">
        <f>D751*E751*F751</f>
        <v>11.5</v>
      </c>
      <c r="I751" s="621"/>
      <c r="J751" s="623"/>
      <c r="K751" s="586"/>
      <c r="L751" s="586"/>
      <c r="M751" s="571"/>
      <c r="N751" s="588"/>
      <c r="O751" s="588"/>
      <c r="P751" s="589"/>
      <c r="Q751" s="572"/>
      <c r="R751" s="573"/>
      <c r="S751" s="574"/>
      <c r="T751" s="574"/>
      <c r="U751" s="574"/>
      <c r="V751" s="574"/>
      <c r="W751" s="574"/>
      <c r="X751" s="572"/>
      <c r="Y751" s="572"/>
      <c r="Z751" s="572"/>
      <c r="AB751" s="573"/>
    </row>
    <row r="752" spans="1:28" s="575" customFormat="1">
      <c r="A752" s="616"/>
      <c r="B752" s="576" t="s">
        <v>886</v>
      </c>
      <c r="C752" s="591"/>
      <c r="D752" s="617">
        <v>1</v>
      </c>
      <c r="E752" s="618">
        <v>10.5</v>
      </c>
      <c r="F752" s="619">
        <v>5</v>
      </c>
      <c r="G752" s="620"/>
      <c r="H752" s="621">
        <f>D752*E752*F752</f>
        <v>52.5</v>
      </c>
      <c r="I752" s="621"/>
      <c r="J752" s="623"/>
      <c r="K752" s="586"/>
      <c r="L752" s="586"/>
      <c r="M752" s="571"/>
      <c r="N752" s="588"/>
      <c r="O752" s="588"/>
      <c r="P752" s="589"/>
      <c r="Q752" s="572"/>
      <c r="R752" s="573"/>
      <c r="S752" s="574"/>
      <c r="T752" s="574"/>
      <c r="U752" s="574"/>
      <c r="V752" s="574"/>
      <c r="W752" s="574"/>
      <c r="X752" s="572"/>
      <c r="Y752" s="572"/>
      <c r="Z752" s="572"/>
      <c r="AB752" s="573"/>
    </row>
    <row r="753" spans="1:28" s="575" customFormat="1">
      <c r="A753" s="616"/>
      <c r="B753" s="576" t="s">
        <v>887</v>
      </c>
      <c r="C753" s="591"/>
      <c r="D753" s="617">
        <v>1</v>
      </c>
      <c r="E753" s="618">
        <f>14.75+16.1+29.9</f>
        <v>60.75</v>
      </c>
      <c r="F753" s="619">
        <v>0.15</v>
      </c>
      <c r="G753" s="620"/>
      <c r="H753" s="621">
        <f t="shared" ref="H753:H754" si="42">D753*E753*F753</f>
        <v>9.1124999999999989</v>
      </c>
      <c r="I753" s="621"/>
      <c r="J753" s="623"/>
      <c r="K753" s="586"/>
      <c r="L753" s="586"/>
      <c r="M753" s="571"/>
      <c r="N753" s="588"/>
      <c r="O753" s="588"/>
      <c r="P753" s="589"/>
      <c r="Q753" s="572"/>
      <c r="R753" s="573"/>
      <c r="S753" s="574"/>
      <c r="T753" s="574"/>
      <c r="U753" s="574"/>
      <c r="V753" s="574"/>
      <c r="W753" s="574"/>
      <c r="X753" s="572"/>
      <c r="Y753" s="572"/>
      <c r="Z753" s="572"/>
      <c r="AB753" s="573"/>
    </row>
    <row r="754" spans="1:28" s="575" customFormat="1">
      <c r="A754" s="616"/>
      <c r="B754" s="576" t="s">
        <v>888</v>
      </c>
      <c r="C754" s="591"/>
      <c r="D754" s="617">
        <v>23</v>
      </c>
      <c r="E754" s="618">
        <v>5</v>
      </c>
      <c r="F754" s="619">
        <v>0.15</v>
      </c>
      <c r="G754" s="620"/>
      <c r="H754" s="621">
        <f t="shared" si="42"/>
        <v>17.25</v>
      </c>
      <c r="I754" s="621"/>
      <c r="J754" s="623"/>
      <c r="K754" s="586"/>
      <c r="L754" s="586"/>
      <c r="M754" s="571"/>
      <c r="N754" s="588"/>
      <c r="O754" s="588"/>
      <c r="P754" s="589"/>
      <c r="Q754" s="572"/>
      <c r="R754" s="573"/>
      <c r="S754" s="574"/>
      <c r="T754" s="574"/>
      <c r="U754" s="574"/>
      <c r="V754" s="574"/>
      <c r="W754" s="574"/>
      <c r="X754" s="572"/>
      <c r="Y754" s="572"/>
      <c r="Z754" s="572"/>
      <c r="AB754" s="573"/>
    </row>
    <row r="755" spans="1:28" s="478" customFormat="1" ht="29.25" customHeight="1">
      <c r="A755" s="463" t="s">
        <v>1011</v>
      </c>
      <c r="B755" s="464" t="s">
        <v>680</v>
      </c>
      <c r="C755" s="465" t="s">
        <v>195</v>
      </c>
      <c r="D755" s="466"/>
      <c r="E755" s="467"/>
      <c r="F755" s="468"/>
      <c r="G755" s="469"/>
      <c r="H755" s="470"/>
      <c r="I755" s="470"/>
      <c r="J755" s="472"/>
      <c r="K755" s="473"/>
      <c r="L755" s="473"/>
      <c r="M755" s="474"/>
      <c r="N755" s="479"/>
      <c r="O755" s="479"/>
      <c r="P755" s="480"/>
      <c r="Q755" s="475"/>
      <c r="R755" s="476"/>
      <c r="S755" s="477"/>
      <c r="T755" s="477"/>
      <c r="U755" s="477"/>
      <c r="V755" s="477"/>
      <c r="W755" s="477"/>
      <c r="X755" s="475"/>
      <c r="Y755" s="475"/>
      <c r="Z755" s="475"/>
      <c r="AB755" s="476"/>
    </row>
    <row r="756" spans="1:28" s="575" customFormat="1">
      <c r="A756" s="616"/>
      <c r="B756" s="570" t="s">
        <v>669</v>
      </c>
      <c r="C756" s="591"/>
      <c r="D756" s="617"/>
      <c r="E756" s="618"/>
      <c r="F756" s="619"/>
      <c r="G756" s="620"/>
      <c r="H756" s="621"/>
      <c r="I756" s="622"/>
      <c r="J756" s="623"/>
      <c r="K756" s="586"/>
      <c r="L756" s="586"/>
      <c r="M756" s="571"/>
      <c r="N756" s="577" t="s">
        <v>611</v>
      </c>
      <c r="O756" s="577" t="s">
        <v>611</v>
      </c>
      <c r="P756" s="577" t="s">
        <v>611</v>
      </c>
      <c r="Q756" s="572"/>
      <c r="R756" s="573"/>
      <c r="S756" s="574"/>
      <c r="T756" s="574"/>
      <c r="U756" s="574"/>
      <c r="V756" s="574"/>
      <c r="W756" s="574"/>
      <c r="X756" s="572"/>
      <c r="Y756" s="572"/>
      <c r="Z756" s="572"/>
      <c r="AB756" s="573" t="s">
        <v>668</v>
      </c>
    </row>
    <row r="757" spans="1:28" s="575" customFormat="1">
      <c r="A757" s="616"/>
      <c r="B757" s="591" t="s">
        <v>666</v>
      </c>
      <c r="C757" s="591"/>
      <c r="D757" s="617"/>
      <c r="E757" s="618"/>
      <c r="F757" s="619"/>
      <c r="G757" s="620"/>
      <c r="H757" s="622"/>
      <c r="I757" s="622"/>
      <c r="J757" s="623"/>
      <c r="K757" s="586"/>
      <c r="L757" s="586"/>
      <c r="M757" s="571"/>
      <c r="N757" s="577" t="s">
        <v>611</v>
      </c>
      <c r="O757" s="577" t="s">
        <v>611</v>
      </c>
      <c r="P757" s="577" t="s">
        <v>611</v>
      </c>
      <c r="Q757" s="572"/>
      <c r="R757" s="573"/>
      <c r="S757" s="574"/>
      <c r="T757" s="574"/>
      <c r="U757" s="574"/>
      <c r="V757" s="574"/>
      <c r="W757" s="574"/>
      <c r="X757" s="572"/>
      <c r="Y757" s="572"/>
      <c r="Z757" s="572"/>
      <c r="AB757" s="573" t="s">
        <v>668</v>
      </c>
    </row>
    <row r="758" spans="1:28" s="575" customFormat="1">
      <c r="A758" s="616"/>
      <c r="B758" s="576" t="s">
        <v>842</v>
      </c>
      <c r="C758" s="591"/>
      <c r="D758" s="617"/>
      <c r="E758" s="618">
        <v>3.65</v>
      </c>
      <c r="F758" s="619">
        <v>0.3</v>
      </c>
      <c r="G758" s="620"/>
      <c r="H758" s="621">
        <f t="shared" ref="H758:H766" si="43">F758*E758</f>
        <v>1.095</v>
      </c>
      <c r="I758" s="621"/>
      <c r="J758" s="623"/>
      <c r="K758" s="586"/>
      <c r="L758" s="586"/>
      <c r="M758" s="571"/>
      <c r="N758" s="588"/>
      <c r="O758" s="588"/>
      <c r="P758" s="589"/>
      <c r="Q758" s="572"/>
      <c r="R758" s="573"/>
      <c r="S758" s="574"/>
      <c r="T758" s="574"/>
      <c r="U758" s="574"/>
      <c r="V758" s="574"/>
      <c r="W758" s="574"/>
      <c r="X758" s="572"/>
      <c r="Y758" s="572"/>
      <c r="Z758" s="572"/>
      <c r="AB758" s="573"/>
    </row>
    <row r="759" spans="1:28" s="575" customFormat="1">
      <c r="A759" s="616"/>
      <c r="B759" s="576" t="s">
        <v>753</v>
      </c>
      <c r="C759" s="591"/>
      <c r="D759" s="617"/>
      <c r="E759" s="618">
        <v>1.45</v>
      </c>
      <c r="F759" s="619">
        <v>0.55000000000000004</v>
      </c>
      <c r="G759" s="620"/>
      <c r="H759" s="621">
        <f t="shared" si="43"/>
        <v>0.79749999999999999</v>
      </c>
      <c r="I759" s="621"/>
      <c r="J759" s="623"/>
      <c r="K759" s="586"/>
      <c r="L759" s="586"/>
      <c r="M759" s="571"/>
      <c r="N759" s="588"/>
      <c r="O759" s="588"/>
      <c r="P759" s="589"/>
      <c r="Q759" s="572"/>
      <c r="R759" s="573"/>
      <c r="S759" s="574"/>
      <c r="T759" s="574"/>
      <c r="U759" s="574"/>
      <c r="V759" s="574"/>
      <c r="W759" s="574"/>
      <c r="X759" s="572"/>
      <c r="Y759" s="572"/>
      <c r="Z759" s="572"/>
      <c r="AB759" s="573"/>
    </row>
    <row r="760" spans="1:28" s="575" customFormat="1">
      <c r="A760" s="616"/>
      <c r="B760" s="576" t="s">
        <v>984</v>
      </c>
      <c r="C760" s="591"/>
      <c r="D760" s="617"/>
      <c r="E760" s="618">
        <v>1.45</v>
      </c>
      <c r="F760" s="619">
        <v>0.55000000000000004</v>
      </c>
      <c r="G760" s="620"/>
      <c r="H760" s="621">
        <f t="shared" si="43"/>
        <v>0.79749999999999999</v>
      </c>
      <c r="I760" s="621"/>
      <c r="J760" s="623"/>
      <c r="K760" s="586"/>
      <c r="L760" s="586"/>
      <c r="M760" s="571"/>
      <c r="N760" s="588"/>
      <c r="O760" s="588"/>
      <c r="P760" s="589"/>
      <c r="Q760" s="572"/>
      <c r="R760" s="573"/>
      <c r="S760" s="574"/>
      <c r="T760" s="574"/>
      <c r="U760" s="574"/>
      <c r="V760" s="574"/>
      <c r="W760" s="574"/>
      <c r="X760" s="572"/>
      <c r="Y760" s="572"/>
      <c r="Z760" s="572"/>
      <c r="AB760" s="573"/>
    </row>
    <row r="761" spans="1:28" s="575" customFormat="1">
      <c r="A761" s="616"/>
      <c r="B761" s="576" t="s">
        <v>985</v>
      </c>
      <c r="C761" s="591"/>
      <c r="D761" s="617"/>
      <c r="E761" s="618">
        <v>2.88</v>
      </c>
      <c r="F761" s="619">
        <v>0.55000000000000004</v>
      </c>
      <c r="G761" s="620"/>
      <c r="H761" s="621">
        <f t="shared" si="43"/>
        <v>1.5840000000000001</v>
      </c>
      <c r="I761" s="621"/>
      <c r="J761" s="623"/>
      <c r="K761" s="586"/>
      <c r="L761" s="586"/>
      <c r="M761" s="571"/>
      <c r="N761" s="588"/>
      <c r="O761" s="588"/>
      <c r="P761" s="589"/>
      <c r="Q761" s="572"/>
      <c r="R761" s="573"/>
      <c r="S761" s="574"/>
      <c r="T761" s="574"/>
      <c r="U761" s="574"/>
      <c r="V761" s="574"/>
      <c r="W761" s="574"/>
      <c r="X761" s="572"/>
      <c r="Y761" s="572"/>
      <c r="Z761" s="572"/>
      <c r="AB761" s="573"/>
    </row>
    <row r="762" spans="1:28" s="575" customFormat="1">
      <c r="A762" s="616"/>
      <c r="B762" s="576" t="s">
        <v>986</v>
      </c>
      <c r="C762" s="591"/>
      <c r="D762" s="617"/>
      <c r="E762" s="618">
        <v>2.4300000000000002</v>
      </c>
      <c r="F762" s="619">
        <v>0.5</v>
      </c>
      <c r="G762" s="620"/>
      <c r="H762" s="621">
        <f t="shared" si="43"/>
        <v>1.2150000000000001</v>
      </c>
      <c r="I762" s="621"/>
      <c r="J762" s="623"/>
      <c r="K762" s="586"/>
      <c r="L762" s="586"/>
      <c r="M762" s="571"/>
      <c r="N762" s="588"/>
      <c r="O762" s="588"/>
      <c r="P762" s="589"/>
      <c r="Q762" s="572"/>
      <c r="R762" s="573"/>
      <c r="S762" s="574"/>
      <c r="T762" s="574"/>
      <c r="U762" s="574"/>
      <c r="V762" s="574"/>
      <c r="W762" s="574"/>
      <c r="X762" s="572"/>
      <c r="Y762" s="572"/>
      <c r="Z762" s="572"/>
      <c r="AB762" s="573"/>
    </row>
    <row r="763" spans="1:28" s="575" customFormat="1">
      <c r="A763" s="616"/>
      <c r="B763" s="576" t="s">
        <v>987</v>
      </c>
      <c r="C763" s="591"/>
      <c r="D763" s="617"/>
      <c r="E763" s="618">
        <v>0.9</v>
      </c>
      <c r="F763" s="619">
        <v>0.55000000000000004</v>
      </c>
      <c r="G763" s="620"/>
      <c r="H763" s="621">
        <f t="shared" si="43"/>
        <v>0.49500000000000005</v>
      </c>
      <c r="I763" s="621"/>
      <c r="J763" s="623"/>
      <c r="K763" s="586"/>
      <c r="L763" s="586"/>
      <c r="M763" s="571"/>
      <c r="N763" s="588"/>
      <c r="O763" s="588"/>
      <c r="P763" s="589"/>
      <c r="Q763" s="572"/>
      <c r="R763" s="573"/>
      <c r="S763" s="574"/>
      <c r="T763" s="574"/>
      <c r="U763" s="574"/>
      <c r="V763" s="574"/>
      <c r="W763" s="574"/>
      <c r="X763" s="572"/>
      <c r="Y763" s="572"/>
      <c r="Z763" s="572"/>
      <c r="AB763" s="573"/>
    </row>
    <row r="764" spans="1:28" s="575" customFormat="1">
      <c r="A764" s="616"/>
      <c r="B764" s="576" t="s">
        <v>988</v>
      </c>
      <c r="C764" s="591"/>
      <c r="D764" s="617"/>
      <c r="E764" s="618">
        <v>0.9</v>
      </c>
      <c r="F764" s="619">
        <v>0.55000000000000004</v>
      </c>
      <c r="G764" s="620"/>
      <c r="H764" s="621">
        <f t="shared" si="43"/>
        <v>0.49500000000000005</v>
      </c>
      <c r="I764" s="621"/>
      <c r="J764" s="623"/>
      <c r="K764" s="586"/>
      <c r="L764" s="586"/>
      <c r="M764" s="571"/>
      <c r="N764" s="588"/>
      <c r="O764" s="588"/>
      <c r="P764" s="589"/>
      <c r="Q764" s="572"/>
      <c r="R764" s="573"/>
      <c r="S764" s="574"/>
      <c r="T764" s="574"/>
      <c r="U764" s="574"/>
      <c r="V764" s="574"/>
      <c r="W764" s="574"/>
      <c r="X764" s="572"/>
      <c r="Y764" s="572"/>
      <c r="Z764" s="572"/>
      <c r="AB764" s="573"/>
    </row>
    <row r="765" spans="1:28" s="575" customFormat="1">
      <c r="A765" s="616"/>
      <c r="B765" s="576" t="s">
        <v>856</v>
      </c>
      <c r="C765" s="591"/>
      <c r="D765" s="617"/>
      <c r="E765" s="618">
        <v>0.9</v>
      </c>
      <c r="F765" s="619">
        <v>0.55000000000000004</v>
      </c>
      <c r="G765" s="620"/>
      <c r="H765" s="621">
        <f t="shared" si="43"/>
        <v>0.49500000000000005</v>
      </c>
      <c r="I765" s="621"/>
      <c r="J765" s="623"/>
      <c r="K765" s="586"/>
      <c r="L765" s="586"/>
      <c r="M765" s="571"/>
      <c r="N765" s="588"/>
      <c r="O765" s="588"/>
      <c r="P765" s="589"/>
      <c r="Q765" s="572"/>
      <c r="R765" s="573"/>
      <c r="S765" s="574"/>
      <c r="T765" s="574"/>
      <c r="U765" s="574"/>
      <c r="V765" s="574"/>
      <c r="W765" s="574"/>
      <c r="X765" s="572"/>
      <c r="Y765" s="572"/>
      <c r="Z765" s="572"/>
      <c r="AB765" s="573"/>
    </row>
    <row r="766" spans="1:28" s="575" customFormat="1">
      <c r="A766" s="616"/>
      <c r="B766" s="576" t="s">
        <v>857</v>
      </c>
      <c r="C766" s="591"/>
      <c r="D766" s="617"/>
      <c r="E766" s="618">
        <v>0.9</v>
      </c>
      <c r="F766" s="619">
        <v>0.55000000000000004</v>
      </c>
      <c r="G766" s="620"/>
      <c r="H766" s="621">
        <f t="shared" si="43"/>
        <v>0.49500000000000005</v>
      </c>
      <c r="I766" s="621"/>
      <c r="J766" s="623"/>
      <c r="K766" s="586"/>
      <c r="L766" s="586"/>
      <c r="M766" s="571"/>
      <c r="N766" s="588"/>
      <c r="O766" s="588"/>
      <c r="P766" s="589"/>
      <c r="Q766" s="572"/>
      <c r="R766" s="573"/>
      <c r="S766" s="574"/>
      <c r="T766" s="574"/>
      <c r="U766" s="574"/>
      <c r="V766" s="574"/>
      <c r="W766" s="574"/>
      <c r="X766" s="572"/>
      <c r="Y766" s="572"/>
      <c r="Z766" s="572"/>
      <c r="AB766" s="573"/>
    </row>
    <row r="767" spans="1:28" s="478" customFormat="1" ht="29.25" customHeight="1">
      <c r="A767" s="463" t="s">
        <v>1012</v>
      </c>
      <c r="B767" s="464" t="s">
        <v>1013</v>
      </c>
      <c r="C767" s="465" t="s">
        <v>195</v>
      </c>
      <c r="D767" s="466"/>
      <c r="E767" s="467"/>
      <c r="F767" s="468"/>
      <c r="G767" s="469"/>
      <c r="H767" s="470"/>
      <c r="I767" s="470"/>
      <c r="J767" s="472"/>
      <c r="K767" s="473"/>
      <c r="L767" s="473"/>
      <c r="M767" s="474"/>
      <c r="N767" s="479"/>
      <c r="O767" s="479"/>
      <c r="P767" s="480"/>
      <c r="Q767" s="475"/>
      <c r="R767" s="476"/>
      <c r="S767" s="477"/>
      <c r="T767" s="477"/>
      <c r="U767" s="477"/>
      <c r="V767" s="477"/>
      <c r="W767" s="477"/>
      <c r="X767" s="475"/>
      <c r="Y767" s="475"/>
      <c r="Z767" s="475"/>
      <c r="AB767" s="476"/>
    </row>
    <row r="768" spans="1:28" s="575" customFormat="1">
      <c r="A768" s="616"/>
      <c r="B768" s="570" t="s">
        <v>669</v>
      </c>
      <c r="C768" s="591"/>
      <c r="D768" s="617"/>
      <c r="E768" s="618"/>
      <c r="F768" s="619"/>
      <c r="G768" s="620"/>
      <c r="H768" s="621"/>
      <c r="I768" s="622"/>
      <c r="J768" s="623"/>
      <c r="K768" s="586"/>
      <c r="L768" s="586"/>
      <c r="M768" s="571"/>
      <c r="N768" s="577" t="s">
        <v>611</v>
      </c>
      <c r="O768" s="577" t="s">
        <v>611</v>
      </c>
      <c r="P768" s="577" t="s">
        <v>611</v>
      </c>
      <c r="Q768" s="572"/>
      <c r="R768" s="573"/>
      <c r="S768" s="574"/>
      <c r="T768" s="574"/>
      <c r="U768" s="574"/>
      <c r="V768" s="574"/>
      <c r="W768" s="574"/>
      <c r="X768" s="572"/>
      <c r="Y768" s="572"/>
      <c r="Z768" s="572"/>
      <c r="AB768" s="573" t="s">
        <v>668</v>
      </c>
    </row>
    <row r="769" spans="1:28" s="575" customFormat="1">
      <c r="A769" s="616"/>
      <c r="B769" s="591" t="s">
        <v>666</v>
      </c>
      <c r="C769" s="591"/>
      <c r="D769" s="617"/>
      <c r="E769" s="618"/>
      <c r="F769" s="619"/>
      <c r="G769" s="620"/>
      <c r="H769" s="622"/>
      <c r="I769" s="622"/>
      <c r="J769" s="623"/>
      <c r="K769" s="586"/>
      <c r="L769" s="586"/>
      <c r="M769" s="571"/>
      <c r="N769" s="577" t="s">
        <v>611</v>
      </c>
      <c r="O769" s="577" t="s">
        <v>611</v>
      </c>
      <c r="P769" s="577" t="s">
        <v>611</v>
      </c>
      <c r="Q769" s="572"/>
      <c r="R769" s="573"/>
      <c r="S769" s="574"/>
      <c r="T769" s="574"/>
      <c r="U769" s="574"/>
      <c r="V769" s="574"/>
      <c r="W769" s="574"/>
      <c r="X769" s="572"/>
      <c r="Y769" s="572"/>
      <c r="Z769" s="572"/>
      <c r="AB769" s="573" t="s">
        <v>668</v>
      </c>
    </row>
    <row r="770" spans="1:28" s="575" customFormat="1">
      <c r="A770" s="616"/>
      <c r="B770" s="576" t="s">
        <v>118</v>
      </c>
      <c r="C770" s="591"/>
      <c r="D770" s="617"/>
      <c r="E770" s="618">
        <v>2.4</v>
      </c>
      <c r="F770" s="619">
        <v>0.6</v>
      </c>
      <c r="G770" s="620"/>
      <c r="H770" s="621">
        <f>F770*E770</f>
        <v>1.44</v>
      </c>
      <c r="I770" s="621"/>
      <c r="J770" s="623"/>
      <c r="K770" s="586"/>
      <c r="L770" s="586"/>
      <c r="M770" s="571"/>
      <c r="N770" s="588"/>
      <c r="O770" s="588"/>
      <c r="P770" s="589"/>
      <c r="Q770" s="572"/>
      <c r="R770" s="573"/>
      <c r="S770" s="574"/>
      <c r="T770" s="574"/>
      <c r="U770" s="574"/>
      <c r="V770" s="574"/>
      <c r="W770" s="574"/>
      <c r="X770" s="572"/>
      <c r="Y770" s="572"/>
      <c r="Z770" s="572"/>
      <c r="AB770" s="573"/>
    </row>
    <row r="771" spans="1:28" s="575" customFormat="1">
      <c r="A771" s="616"/>
      <c r="B771" s="576"/>
      <c r="C771" s="591"/>
      <c r="D771" s="617"/>
      <c r="E771" s="618"/>
      <c r="F771" s="619"/>
      <c r="G771" s="620"/>
      <c r="H771" s="621"/>
      <c r="I771" s="621"/>
      <c r="J771" s="623"/>
      <c r="K771" s="586"/>
      <c r="L771" s="586"/>
      <c r="M771" s="571"/>
      <c r="N771" s="588"/>
      <c r="O771" s="588"/>
      <c r="P771" s="589"/>
      <c r="Q771" s="572"/>
      <c r="R771" s="573"/>
      <c r="S771" s="574"/>
      <c r="T771" s="574"/>
      <c r="U771" s="574"/>
      <c r="V771" s="574"/>
      <c r="W771" s="574"/>
      <c r="X771" s="572"/>
      <c r="Y771" s="572"/>
      <c r="Z771" s="572"/>
      <c r="AB771" s="573"/>
    </row>
    <row r="772" spans="1:28" s="478" customFormat="1" ht="35.25" customHeight="1">
      <c r="A772" s="463" t="s">
        <v>1014</v>
      </c>
      <c r="B772" s="464" t="s">
        <v>1015</v>
      </c>
      <c r="C772" s="465" t="s">
        <v>195</v>
      </c>
      <c r="D772" s="466"/>
      <c r="E772" s="467"/>
      <c r="F772" s="468"/>
      <c r="G772" s="469"/>
      <c r="H772" s="470"/>
      <c r="I772" s="470"/>
      <c r="J772" s="472"/>
      <c r="K772" s="473"/>
      <c r="L772" s="473"/>
      <c r="M772" s="474"/>
      <c r="N772" s="479"/>
      <c r="O772" s="479"/>
      <c r="P772" s="480"/>
      <c r="Q772" s="475"/>
      <c r="R772" s="476"/>
      <c r="S772" s="477"/>
      <c r="T772" s="477"/>
      <c r="U772" s="477"/>
      <c r="V772" s="477"/>
      <c r="W772" s="477"/>
      <c r="X772" s="475"/>
      <c r="Y772" s="475"/>
      <c r="Z772" s="475"/>
      <c r="AB772" s="476"/>
    </row>
    <row r="773" spans="1:28" s="575" customFormat="1">
      <c r="A773" s="616"/>
      <c r="B773" s="570" t="s">
        <v>669</v>
      </c>
      <c r="C773" s="591"/>
      <c r="D773" s="617"/>
      <c r="E773" s="618"/>
      <c r="F773" s="619"/>
      <c r="G773" s="620"/>
      <c r="H773" s="621"/>
      <c r="I773" s="622"/>
      <c r="J773" s="623"/>
      <c r="K773" s="586"/>
      <c r="L773" s="586"/>
      <c r="M773" s="571"/>
      <c r="N773" s="577" t="s">
        <v>611</v>
      </c>
      <c r="O773" s="577" t="s">
        <v>611</v>
      </c>
      <c r="P773" s="577" t="s">
        <v>611</v>
      </c>
      <c r="Q773" s="572"/>
      <c r="R773" s="573"/>
      <c r="S773" s="574"/>
      <c r="T773" s="574"/>
      <c r="U773" s="574"/>
      <c r="V773" s="574"/>
      <c r="W773" s="574"/>
      <c r="X773" s="572"/>
      <c r="Y773" s="572"/>
      <c r="Z773" s="572"/>
      <c r="AB773" s="573" t="s">
        <v>668</v>
      </c>
    </row>
    <row r="774" spans="1:28" s="575" customFormat="1">
      <c r="A774" s="616"/>
      <c r="B774" s="591" t="s">
        <v>666</v>
      </c>
      <c r="C774" s="591"/>
      <c r="D774" s="617"/>
      <c r="E774" s="618"/>
      <c r="F774" s="619"/>
      <c r="G774" s="620"/>
      <c r="H774" s="622"/>
      <c r="I774" s="622"/>
      <c r="J774" s="623"/>
      <c r="K774" s="586"/>
      <c r="L774" s="586"/>
      <c r="M774" s="571"/>
      <c r="N774" s="577" t="s">
        <v>611</v>
      </c>
      <c r="O774" s="577" t="s">
        <v>611</v>
      </c>
      <c r="P774" s="577" t="s">
        <v>611</v>
      </c>
      <c r="Q774" s="572"/>
      <c r="R774" s="573"/>
      <c r="S774" s="574"/>
      <c r="T774" s="574"/>
      <c r="U774" s="574"/>
      <c r="V774" s="574"/>
      <c r="W774" s="574"/>
      <c r="X774" s="572"/>
      <c r="Y774" s="572"/>
      <c r="Z774" s="572"/>
      <c r="AB774" s="573" t="s">
        <v>668</v>
      </c>
    </row>
    <row r="775" spans="1:28" s="575" customFormat="1">
      <c r="A775" s="616"/>
      <c r="B775" s="576" t="s">
        <v>753</v>
      </c>
      <c r="C775" s="591"/>
      <c r="D775" s="617">
        <v>3</v>
      </c>
      <c r="E775" s="618"/>
      <c r="F775" s="619"/>
      <c r="G775" s="620"/>
      <c r="H775" s="621"/>
      <c r="I775" s="621"/>
      <c r="J775" s="623"/>
      <c r="K775" s="586"/>
      <c r="L775" s="586"/>
      <c r="M775" s="571"/>
      <c r="N775" s="588"/>
      <c r="O775" s="588"/>
      <c r="P775" s="589"/>
      <c r="Q775" s="572"/>
      <c r="R775" s="573"/>
      <c r="S775" s="574"/>
      <c r="T775" s="574"/>
      <c r="U775" s="574"/>
      <c r="V775" s="574"/>
      <c r="W775" s="574"/>
      <c r="X775" s="572"/>
      <c r="Y775" s="572"/>
      <c r="Z775" s="572"/>
      <c r="AB775" s="573"/>
    </row>
    <row r="776" spans="1:28" s="575" customFormat="1">
      <c r="A776" s="616"/>
      <c r="B776" s="576" t="s">
        <v>984</v>
      </c>
      <c r="C776" s="591"/>
      <c r="D776" s="617">
        <v>2</v>
      </c>
      <c r="E776" s="618"/>
      <c r="F776" s="619"/>
      <c r="G776" s="620"/>
      <c r="H776" s="621"/>
      <c r="I776" s="621"/>
      <c r="J776" s="623"/>
      <c r="K776" s="586"/>
      <c r="L776" s="586"/>
      <c r="M776" s="571"/>
      <c r="N776" s="588"/>
      <c r="O776" s="588"/>
      <c r="P776" s="589"/>
      <c r="Q776" s="572"/>
      <c r="R776" s="573"/>
      <c r="S776" s="574"/>
      <c r="T776" s="574"/>
      <c r="U776" s="574"/>
      <c r="V776" s="574"/>
      <c r="W776" s="574"/>
      <c r="X776" s="572"/>
      <c r="Y776" s="572"/>
      <c r="Z776" s="572"/>
      <c r="AB776" s="573"/>
    </row>
    <row r="777" spans="1:28" s="575" customFormat="1">
      <c r="A777" s="616"/>
      <c r="B777" s="576" t="s">
        <v>985</v>
      </c>
      <c r="C777" s="591"/>
      <c r="D777" s="617">
        <v>3</v>
      </c>
      <c r="E777" s="618"/>
      <c r="F777" s="619"/>
      <c r="G777" s="620"/>
      <c r="H777" s="621"/>
      <c r="I777" s="621"/>
      <c r="J777" s="623"/>
      <c r="K777" s="586"/>
      <c r="L777" s="586"/>
      <c r="M777" s="571"/>
      <c r="N777" s="588"/>
      <c r="O777" s="588"/>
      <c r="P777" s="589"/>
      <c r="Q777" s="572"/>
      <c r="R777" s="573"/>
      <c r="S777" s="574"/>
      <c r="T777" s="574"/>
      <c r="U777" s="574"/>
      <c r="V777" s="574"/>
      <c r="W777" s="574"/>
      <c r="X777" s="572"/>
      <c r="Y777" s="572"/>
      <c r="Z777" s="572"/>
      <c r="AB777" s="573"/>
    </row>
    <row r="778" spans="1:28" s="575" customFormat="1">
      <c r="A778" s="616"/>
      <c r="B778" s="576" t="s">
        <v>986</v>
      </c>
      <c r="C778" s="591"/>
      <c r="D778" s="617">
        <v>4</v>
      </c>
      <c r="E778" s="618"/>
      <c r="F778" s="619"/>
      <c r="G778" s="620"/>
      <c r="H778" s="621"/>
      <c r="I778" s="621"/>
      <c r="J778" s="623"/>
      <c r="K778" s="586"/>
      <c r="L778" s="586"/>
      <c r="M778" s="571"/>
      <c r="N778" s="588"/>
      <c r="O778" s="588"/>
      <c r="P778" s="589"/>
      <c r="Q778" s="572"/>
      <c r="R778" s="573"/>
      <c r="S778" s="574"/>
      <c r="T778" s="574"/>
      <c r="U778" s="574"/>
      <c r="V778" s="574"/>
      <c r="W778" s="574"/>
      <c r="X778" s="572"/>
      <c r="Y778" s="572"/>
      <c r="Z778" s="572"/>
      <c r="AB778" s="573"/>
    </row>
    <row r="779" spans="1:28" s="575" customFormat="1">
      <c r="A779" s="616"/>
      <c r="B779" s="576" t="s">
        <v>987</v>
      </c>
      <c r="C779" s="591"/>
      <c r="D779" s="617">
        <v>1</v>
      </c>
      <c r="E779" s="618"/>
      <c r="F779" s="619"/>
      <c r="G779" s="620"/>
      <c r="H779" s="621"/>
      <c r="I779" s="621"/>
      <c r="J779" s="623"/>
      <c r="K779" s="586"/>
      <c r="L779" s="586"/>
      <c r="M779" s="571"/>
      <c r="N779" s="588"/>
      <c r="O779" s="588"/>
      <c r="P779" s="589"/>
      <c r="Q779" s="572"/>
      <c r="R779" s="573"/>
      <c r="S779" s="574"/>
      <c r="T779" s="574"/>
      <c r="U779" s="574"/>
      <c r="V779" s="574"/>
      <c r="W779" s="574"/>
      <c r="X779" s="572"/>
      <c r="Y779" s="572"/>
      <c r="Z779" s="572"/>
      <c r="AB779" s="573"/>
    </row>
    <row r="780" spans="1:28" s="575" customFormat="1">
      <c r="A780" s="616"/>
      <c r="B780" s="576" t="s">
        <v>988</v>
      </c>
      <c r="C780" s="591"/>
      <c r="D780" s="617">
        <v>1</v>
      </c>
      <c r="E780" s="618"/>
      <c r="F780" s="619"/>
      <c r="G780" s="620"/>
      <c r="H780" s="621"/>
      <c r="I780" s="621"/>
      <c r="J780" s="623"/>
      <c r="K780" s="586"/>
      <c r="L780" s="586"/>
      <c r="M780" s="571"/>
      <c r="N780" s="588"/>
      <c r="O780" s="588"/>
      <c r="P780" s="589"/>
      <c r="Q780" s="572"/>
      <c r="R780" s="573"/>
      <c r="S780" s="574"/>
      <c r="T780" s="574"/>
      <c r="U780" s="574"/>
      <c r="V780" s="574"/>
      <c r="W780" s="574"/>
      <c r="X780" s="572"/>
      <c r="Y780" s="572"/>
      <c r="Z780" s="572"/>
      <c r="AB780" s="573"/>
    </row>
    <row r="781" spans="1:28" s="575" customFormat="1">
      <c r="A781" s="616"/>
      <c r="B781" s="576" t="s">
        <v>856</v>
      </c>
      <c r="C781" s="591"/>
      <c r="D781" s="617">
        <v>1</v>
      </c>
      <c r="E781" s="618"/>
      <c r="F781" s="619"/>
      <c r="G781" s="620"/>
      <c r="H781" s="621"/>
      <c r="I781" s="621"/>
      <c r="J781" s="623"/>
      <c r="K781" s="586"/>
      <c r="L781" s="586"/>
      <c r="M781" s="571"/>
      <c r="N781" s="588"/>
      <c r="O781" s="588"/>
      <c r="P781" s="589"/>
      <c r="Q781" s="572"/>
      <c r="R781" s="573"/>
      <c r="S781" s="574"/>
      <c r="T781" s="574"/>
      <c r="U781" s="574"/>
      <c r="V781" s="574"/>
      <c r="W781" s="574"/>
      <c r="X781" s="572"/>
      <c r="Y781" s="572"/>
      <c r="Z781" s="572"/>
      <c r="AB781" s="573"/>
    </row>
    <row r="782" spans="1:28" s="575" customFormat="1">
      <c r="A782" s="616"/>
      <c r="B782" s="576" t="s">
        <v>857</v>
      </c>
      <c r="C782" s="591"/>
      <c r="D782" s="617">
        <v>1</v>
      </c>
      <c r="E782" s="618"/>
      <c r="F782" s="619"/>
      <c r="G782" s="620"/>
      <c r="H782" s="621"/>
      <c r="I782" s="621"/>
      <c r="J782" s="623"/>
      <c r="K782" s="586"/>
      <c r="L782" s="586"/>
      <c r="M782" s="571"/>
      <c r="N782" s="588"/>
      <c r="O782" s="588"/>
      <c r="P782" s="589"/>
      <c r="Q782" s="572"/>
      <c r="R782" s="573"/>
      <c r="S782" s="574"/>
      <c r="T782" s="574"/>
      <c r="U782" s="574"/>
      <c r="V782" s="574"/>
      <c r="W782" s="574"/>
      <c r="X782" s="572"/>
      <c r="Y782" s="572"/>
      <c r="Z782" s="572"/>
      <c r="AB782" s="573"/>
    </row>
    <row r="783" spans="1:28" s="575" customFormat="1">
      <c r="A783" s="616"/>
      <c r="B783" s="576" t="s">
        <v>860</v>
      </c>
      <c r="C783" s="591"/>
      <c r="D783" s="617">
        <v>1</v>
      </c>
      <c r="E783" s="618"/>
      <c r="F783" s="619"/>
      <c r="G783" s="620"/>
      <c r="H783" s="621"/>
      <c r="I783" s="621"/>
      <c r="J783" s="623"/>
      <c r="K783" s="586"/>
      <c r="L783" s="586"/>
      <c r="M783" s="571"/>
      <c r="N783" s="588"/>
      <c r="O783" s="588"/>
      <c r="P783" s="589"/>
      <c r="Q783" s="572"/>
      <c r="R783" s="573"/>
      <c r="S783" s="574"/>
      <c r="T783" s="574"/>
      <c r="U783" s="574"/>
      <c r="V783" s="574"/>
      <c r="W783" s="574"/>
      <c r="X783" s="572"/>
      <c r="Y783" s="572"/>
      <c r="Z783" s="572"/>
      <c r="AB783" s="573"/>
    </row>
    <row r="784" spans="1:28" s="575" customFormat="1">
      <c r="A784" s="616"/>
      <c r="B784" s="576" t="s">
        <v>864</v>
      </c>
      <c r="C784" s="591"/>
      <c r="D784" s="617">
        <v>1</v>
      </c>
      <c r="E784" s="618"/>
      <c r="F784" s="619"/>
      <c r="G784" s="620"/>
      <c r="H784" s="621"/>
      <c r="I784" s="621"/>
      <c r="J784" s="623"/>
      <c r="K784" s="586"/>
      <c r="L784" s="586"/>
      <c r="M784" s="571"/>
      <c r="N784" s="588"/>
      <c r="O784" s="588"/>
      <c r="P784" s="589"/>
      <c r="Q784" s="572"/>
      <c r="R784" s="573"/>
      <c r="S784" s="574"/>
      <c r="T784" s="574"/>
      <c r="U784" s="574"/>
      <c r="V784" s="574"/>
      <c r="W784" s="574"/>
      <c r="X784" s="572"/>
      <c r="Y784" s="572"/>
      <c r="Z784" s="572"/>
      <c r="AB784" s="573"/>
    </row>
    <row r="785" spans="1:28" s="575" customFormat="1">
      <c r="A785" s="616"/>
      <c r="B785" s="576" t="s">
        <v>867</v>
      </c>
      <c r="C785" s="591"/>
      <c r="D785" s="617">
        <v>1</v>
      </c>
      <c r="E785" s="618"/>
      <c r="F785" s="619"/>
      <c r="G785" s="620"/>
      <c r="H785" s="621"/>
      <c r="I785" s="621"/>
      <c r="J785" s="623"/>
      <c r="K785" s="586"/>
      <c r="L785" s="586"/>
      <c r="M785" s="571"/>
      <c r="N785" s="588"/>
      <c r="O785" s="588"/>
      <c r="P785" s="589"/>
      <c r="Q785" s="572"/>
      <c r="R785" s="573"/>
      <c r="S785" s="574"/>
      <c r="T785" s="574"/>
      <c r="U785" s="574"/>
      <c r="V785" s="574"/>
      <c r="W785" s="574"/>
      <c r="X785" s="572"/>
      <c r="Y785" s="572"/>
      <c r="Z785" s="572"/>
      <c r="AB785" s="573"/>
    </row>
    <row r="786" spans="1:28" s="575" customFormat="1">
      <c r="A786" s="616"/>
      <c r="B786" s="576" t="s">
        <v>870</v>
      </c>
      <c r="C786" s="591"/>
      <c r="D786" s="617">
        <v>1</v>
      </c>
      <c r="E786" s="618"/>
      <c r="F786" s="619"/>
      <c r="G786" s="620"/>
      <c r="H786" s="621"/>
      <c r="I786" s="621"/>
      <c r="J786" s="623"/>
      <c r="K786" s="586"/>
      <c r="L786" s="586"/>
      <c r="M786" s="571"/>
      <c r="N786" s="588"/>
      <c r="O786" s="588"/>
      <c r="P786" s="589"/>
      <c r="Q786" s="572"/>
      <c r="R786" s="573"/>
      <c r="S786" s="574"/>
      <c r="T786" s="574"/>
      <c r="U786" s="574"/>
      <c r="V786" s="574"/>
      <c r="W786" s="574"/>
      <c r="X786" s="572"/>
      <c r="Y786" s="572"/>
      <c r="Z786" s="572"/>
      <c r="AB786" s="573"/>
    </row>
    <row r="787" spans="1:28" s="478" customFormat="1" ht="35.25" customHeight="1">
      <c r="A787" s="463" t="s">
        <v>1016</v>
      </c>
      <c r="B787" s="464" t="s">
        <v>993</v>
      </c>
      <c r="C787" s="465" t="s">
        <v>195</v>
      </c>
      <c r="D787" s="466"/>
      <c r="E787" s="467"/>
      <c r="F787" s="468"/>
      <c r="G787" s="469"/>
      <c r="H787" s="470"/>
      <c r="I787" s="470"/>
      <c r="J787" s="472"/>
      <c r="K787" s="473"/>
      <c r="L787" s="473"/>
      <c r="M787" s="474"/>
      <c r="N787" s="479"/>
      <c r="O787" s="479"/>
      <c r="P787" s="480"/>
      <c r="Q787" s="475"/>
      <c r="R787" s="476"/>
      <c r="S787" s="477"/>
      <c r="T787" s="477"/>
      <c r="U787" s="477"/>
      <c r="V787" s="477"/>
      <c r="W787" s="477"/>
      <c r="X787" s="475"/>
      <c r="Y787" s="475"/>
      <c r="Z787" s="475"/>
      <c r="AB787" s="476"/>
    </row>
    <row r="788" spans="1:28" s="575" customFormat="1">
      <c r="A788" s="616"/>
      <c r="B788" s="570" t="s">
        <v>669</v>
      </c>
      <c r="C788" s="591"/>
      <c r="D788" s="617"/>
      <c r="E788" s="618"/>
      <c r="F788" s="619"/>
      <c r="G788" s="620"/>
      <c r="H788" s="621"/>
      <c r="I788" s="622"/>
      <c r="J788" s="623"/>
      <c r="K788" s="586"/>
      <c r="L788" s="586"/>
      <c r="M788" s="571"/>
      <c r="N788" s="577" t="s">
        <v>611</v>
      </c>
      <c r="O788" s="577" t="s">
        <v>611</v>
      </c>
      <c r="P788" s="577" t="s">
        <v>611</v>
      </c>
      <c r="Q788" s="572"/>
      <c r="R788" s="573"/>
      <c r="S788" s="574"/>
      <c r="T788" s="574"/>
      <c r="U788" s="574"/>
      <c r="V788" s="574"/>
      <c r="W788" s="574"/>
      <c r="X788" s="572"/>
      <c r="Y788" s="572"/>
      <c r="Z788" s="572"/>
      <c r="AB788" s="573" t="s">
        <v>668</v>
      </c>
    </row>
    <row r="789" spans="1:28" s="575" customFormat="1">
      <c r="A789" s="616"/>
      <c r="B789" s="591" t="s">
        <v>666</v>
      </c>
      <c r="C789" s="591"/>
      <c r="D789" s="617"/>
      <c r="E789" s="618"/>
      <c r="F789" s="619"/>
      <c r="G789" s="620"/>
      <c r="H789" s="621"/>
      <c r="I789" s="621"/>
      <c r="J789" s="623"/>
      <c r="K789" s="586"/>
      <c r="L789" s="586"/>
      <c r="M789" s="571"/>
      <c r="N789" s="588"/>
      <c r="O789" s="588"/>
      <c r="P789" s="589"/>
      <c r="Q789" s="572"/>
      <c r="R789" s="573"/>
      <c r="S789" s="574"/>
      <c r="T789" s="574"/>
      <c r="U789" s="574"/>
      <c r="V789" s="574"/>
      <c r="W789" s="574"/>
      <c r="X789" s="572"/>
      <c r="Y789" s="572"/>
      <c r="Z789" s="572"/>
      <c r="AB789" s="573"/>
    </row>
    <row r="790" spans="1:28" s="575" customFormat="1">
      <c r="A790" s="616"/>
      <c r="B790" s="576" t="s">
        <v>753</v>
      </c>
      <c r="C790" s="591"/>
      <c r="D790" s="617">
        <v>1</v>
      </c>
      <c r="E790" s="618"/>
      <c r="F790" s="619"/>
      <c r="G790" s="620"/>
      <c r="H790" s="621"/>
      <c r="I790" s="621"/>
      <c r="J790" s="623"/>
      <c r="K790" s="586"/>
      <c r="L790" s="586"/>
      <c r="M790" s="571"/>
      <c r="N790" s="588"/>
      <c r="O790" s="588"/>
      <c r="P790" s="589"/>
      <c r="Q790" s="572"/>
      <c r="R790" s="573"/>
      <c r="S790" s="574"/>
      <c r="T790" s="574"/>
      <c r="U790" s="574"/>
      <c r="V790" s="574"/>
      <c r="W790" s="574"/>
      <c r="X790" s="572"/>
      <c r="Y790" s="572"/>
      <c r="Z790" s="572"/>
      <c r="AB790" s="573"/>
    </row>
    <row r="791" spans="1:28" s="575" customFormat="1">
      <c r="A791" s="616"/>
      <c r="B791" s="576" t="s">
        <v>984</v>
      </c>
      <c r="C791" s="591"/>
      <c r="D791" s="617">
        <v>1</v>
      </c>
      <c r="E791" s="618"/>
      <c r="F791" s="619"/>
      <c r="G791" s="620"/>
      <c r="H791" s="621"/>
      <c r="I791" s="621"/>
      <c r="J791" s="623"/>
      <c r="K791" s="586"/>
      <c r="L791" s="586"/>
      <c r="M791" s="571"/>
      <c r="N791" s="588"/>
      <c r="O791" s="588"/>
      <c r="P791" s="589"/>
      <c r="Q791" s="572"/>
      <c r="R791" s="573"/>
      <c r="S791" s="574"/>
      <c r="T791" s="574"/>
      <c r="U791" s="574"/>
      <c r="V791" s="574"/>
      <c r="W791" s="574"/>
      <c r="X791" s="572"/>
      <c r="Y791" s="572"/>
      <c r="Z791" s="572"/>
      <c r="AB791" s="573"/>
    </row>
    <row r="792" spans="1:28" s="575" customFormat="1">
      <c r="A792" s="616"/>
      <c r="B792" s="576"/>
      <c r="C792" s="591"/>
      <c r="D792" s="617"/>
      <c r="E792" s="618"/>
      <c r="F792" s="619"/>
      <c r="G792" s="620"/>
      <c r="H792" s="621"/>
      <c r="I792" s="621"/>
      <c r="J792" s="623"/>
      <c r="K792" s="586"/>
      <c r="L792" s="586"/>
      <c r="M792" s="571"/>
      <c r="N792" s="588"/>
      <c r="O792" s="588"/>
      <c r="P792" s="589"/>
      <c r="Q792" s="572"/>
      <c r="R792" s="573"/>
      <c r="S792" s="574"/>
      <c r="T792" s="574"/>
      <c r="U792" s="574"/>
      <c r="V792" s="574"/>
      <c r="W792" s="574"/>
      <c r="X792" s="572"/>
      <c r="Y792" s="572"/>
      <c r="Z792" s="572"/>
      <c r="AB792" s="573"/>
    </row>
    <row r="793" spans="1:28" s="478" customFormat="1" ht="35.25" customHeight="1">
      <c r="A793" s="463" t="s">
        <v>1017</v>
      </c>
      <c r="B793" s="464" t="s">
        <v>1018</v>
      </c>
      <c r="C793" s="465" t="s">
        <v>195</v>
      </c>
      <c r="D793" s="466"/>
      <c r="E793" s="467"/>
      <c r="F793" s="468"/>
      <c r="G793" s="469"/>
      <c r="H793" s="470"/>
      <c r="I793" s="470"/>
      <c r="J793" s="472"/>
      <c r="K793" s="473"/>
      <c r="L793" s="473"/>
      <c r="M793" s="474"/>
      <c r="N793" s="479"/>
      <c r="O793" s="479"/>
      <c r="P793" s="480"/>
      <c r="Q793" s="475"/>
      <c r="R793" s="476"/>
      <c r="S793" s="477"/>
      <c r="T793" s="477"/>
      <c r="U793" s="477"/>
      <c r="V793" s="477"/>
      <c r="W793" s="477"/>
      <c r="X793" s="475"/>
      <c r="Y793" s="475"/>
      <c r="Z793" s="475"/>
      <c r="AB793" s="476"/>
    </row>
    <row r="794" spans="1:28" s="575" customFormat="1">
      <c r="A794" s="616"/>
      <c r="B794" s="570" t="s">
        <v>669</v>
      </c>
      <c r="C794" s="591"/>
      <c r="D794" s="617"/>
      <c r="E794" s="618"/>
      <c r="F794" s="619"/>
      <c r="G794" s="620"/>
      <c r="H794" s="621"/>
      <c r="I794" s="622"/>
      <c r="J794" s="623"/>
      <c r="K794" s="586"/>
      <c r="L794" s="586"/>
      <c r="M794" s="571"/>
      <c r="N794" s="577" t="s">
        <v>611</v>
      </c>
      <c r="O794" s="577" t="s">
        <v>611</v>
      </c>
      <c r="P794" s="577" t="s">
        <v>611</v>
      </c>
      <c r="Q794" s="572"/>
      <c r="R794" s="573"/>
      <c r="S794" s="574"/>
      <c r="T794" s="574"/>
      <c r="U794" s="574"/>
      <c r="V794" s="574"/>
      <c r="W794" s="574"/>
      <c r="X794" s="572"/>
      <c r="Y794" s="572"/>
      <c r="Z794" s="572"/>
      <c r="AB794" s="573" t="s">
        <v>668</v>
      </c>
    </row>
    <row r="795" spans="1:28" s="575" customFormat="1">
      <c r="A795" s="616"/>
      <c r="B795" s="591" t="s">
        <v>666</v>
      </c>
      <c r="C795" s="591"/>
      <c r="D795" s="617"/>
      <c r="E795" s="618"/>
      <c r="F795" s="619"/>
      <c r="G795" s="620"/>
      <c r="H795" s="621"/>
      <c r="I795" s="622"/>
      <c r="J795" s="623"/>
      <c r="K795" s="586"/>
      <c r="L795" s="586"/>
      <c r="M795" s="571"/>
      <c r="N795" s="577" t="s">
        <v>611</v>
      </c>
      <c r="O795" s="577" t="s">
        <v>611</v>
      </c>
      <c r="P795" s="577" t="s">
        <v>611</v>
      </c>
      <c r="Q795" s="572"/>
      <c r="R795" s="573"/>
      <c r="S795" s="574"/>
      <c r="T795" s="574"/>
      <c r="U795" s="574"/>
      <c r="V795" s="574"/>
      <c r="W795" s="574"/>
      <c r="X795" s="572"/>
      <c r="Y795" s="572"/>
      <c r="Z795" s="572"/>
      <c r="AB795" s="573" t="s">
        <v>668</v>
      </c>
    </row>
    <row r="796" spans="1:28" s="575" customFormat="1">
      <c r="A796" s="616"/>
      <c r="B796" s="576" t="s">
        <v>984</v>
      </c>
      <c r="C796" s="591"/>
      <c r="D796" s="617">
        <v>1</v>
      </c>
      <c r="E796" s="618"/>
      <c r="F796" s="619"/>
      <c r="G796" s="620"/>
      <c r="H796" s="621"/>
      <c r="I796" s="621"/>
      <c r="J796" s="623"/>
      <c r="K796" s="586"/>
      <c r="L796" s="586"/>
      <c r="M796" s="571"/>
      <c r="N796" s="588"/>
      <c r="O796" s="588"/>
      <c r="P796" s="589"/>
      <c r="Q796" s="572"/>
      <c r="R796" s="573"/>
      <c r="S796" s="574"/>
      <c r="T796" s="574"/>
      <c r="U796" s="574"/>
      <c r="V796" s="574"/>
      <c r="W796" s="574"/>
      <c r="X796" s="572"/>
      <c r="Y796" s="572"/>
      <c r="Z796" s="572"/>
      <c r="AB796" s="573"/>
    </row>
    <row r="797" spans="1:28" s="575" customFormat="1">
      <c r="A797" s="616"/>
      <c r="B797" s="576" t="s">
        <v>986</v>
      </c>
      <c r="C797" s="591"/>
      <c r="D797" s="617">
        <v>3</v>
      </c>
      <c r="E797" s="618"/>
      <c r="F797" s="619"/>
      <c r="G797" s="620"/>
      <c r="H797" s="621"/>
      <c r="I797" s="621"/>
      <c r="J797" s="623"/>
      <c r="K797" s="586"/>
      <c r="L797" s="586"/>
      <c r="M797" s="571"/>
      <c r="N797" s="588"/>
      <c r="O797" s="588"/>
      <c r="P797" s="589"/>
      <c r="Q797" s="572"/>
      <c r="R797" s="573"/>
      <c r="S797" s="574"/>
      <c r="T797" s="574"/>
      <c r="U797" s="574"/>
      <c r="V797" s="574"/>
      <c r="W797" s="574"/>
      <c r="X797" s="572"/>
      <c r="Y797" s="572"/>
      <c r="Z797" s="572"/>
      <c r="AB797" s="573"/>
    </row>
    <row r="798" spans="1:28" s="575" customFormat="1">
      <c r="A798" s="616"/>
      <c r="B798" s="576"/>
      <c r="C798" s="591"/>
      <c r="D798" s="617"/>
      <c r="E798" s="618"/>
      <c r="F798" s="619"/>
      <c r="G798" s="620"/>
      <c r="H798" s="621"/>
      <c r="I798" s="621"/>
      <c r="J798" s="623"/>
      <c r="K798" s="586"/>
      <c r="L798" s="586"/>
      <c r="M798" s="571"/>
      <c r="N798" s="588"/>
      <c r="O798" s="588"/>
      <c r="P798" s="589"/>
      <c r="Q798" s="572"/>
      <c r="R798" s="573"/>
      <c r="S798" s="574"/>
      <c r="T798" s="574"/>
      <c r="U798" s="574"/>
      <c r="V798" s="574"/>
      <c r="W798" s="574"/>
      <c r="X798" s="572"/>
      <c r="Y798" s="572"/>
      <c r="Z798" s="572"/>
      <c r="AB798" s="573"/>
    </row>
    <row r="799" spans="1:28" s="478" customFormat="1" ht="29.25" customHeight="1">
      <c r="A799" s="463" t="s">
        <v>1019</v>
      </c>
      <c r="B799" s="464" t="s">
        <v>1020</v>
      </c>
      <c r="C799" s="465" t="s">
        <v>195</v>
      </c>
      <c r="D799" s="466"/>
      <c r="E799" s="467"/>
      <c r="F799" s="468"/>
      <c r="G799" s="469"/>
      <c r="H799" s="470"/>
      <c r="I799" s="470"/>
      <c r="J799" s="472"/>
      <c r="K799" s="473"/>
      <c r="L799" s="473"/>
      <c r="M799" s="474"/>
      <c r="N799" s="479"/>
      <c r="O799" s="479"/>
      <c r="P799" s="480"/>
      <c r="Q799" s="475"/>
      <c r="R799" s="476"/>
      <c r="S799" s="477"/>
      <c r="T799" s="477"/>
      <c r="U799" s="477"/>
      <c r="V799" s="477"/>
      <c r="W799" s="477"/>
      <c r="X799" s="475"/>
      <c r="Y799" s="475"/>
      <c r="Z799" s="475"/>
      <c r="AB799" s="476"/>
    </row>
    <row r="800" spans="1:28" s="575" customFormat="1">
      <c r="A800" s="616"/>
      <c r="B800" s="570" t="s">
        <v>669</v>
      </c>
      <c r="C800" s="591"/>
      <c r="D800" s="617"/>
      <c r="E800" s="618"/>
      <c r="F800" s="619"/>
      <c r="G800" s="620"/>
      <c r="H800" s="621"/>
      <c r="I800" s="622"/>
      <c r="J800" s="623"/>
      <c r="K800" s="586"/>
      <c r="L800" s="586"/>
      <c r="M800" s="571"/>
      <c r="N800" s="577" t="s">
        <v>611</v>
      </c>
      <c r="O800" s="577" t="s">
        <v>611</v>
      </c>
      <c r="P800" s="577" t="s">
        <v>611</v>
      </c>
      <c r="Q800" s="572"/>
      <c r="R800" s="573"/>
      <c r="S800" s="574"/>
      <c r="T800" s="574"/>
      <c r="U800" s="574"/>
      <c r="V800" s="574"/>
      <c r="W800" s="574"/>
      <c r="X800" s="572"/>
      <c r="Y800" s="572"/>
      <c r="Z800" s="572"/>
      <c r="AB800" s="573" t="s">
        <v>668</v>
      </c>
    </row>
    <row r="801" spans="1:28" s="575" customFormat="1">
      <c r="A801" s="616"/>
      <c r="B801" s="591" t="s">
        <v>666</v>
      </c>
      <c r="C801" s="591"/>
      <c r="D801" s="617"/>
      <c r="E801" s="618"/>
      <c r="F801" s="619"/>
      <c r="G801" s="620"/>
      <c r="H801" s="622"/>
      <c r="I801" s="622"/>
      <c r="J801" s="623"/>
      <c r="K801" s="586"/>
      <c r="L801" s="586"/>
      <c r="M801" s="571"/>
      <c r="N801" s="577" t="s">
        <v>611</v>
      </c>
      <c r="O801" s="577" t="s">
        <v>611</v>
      </c>
      <c r="P801" s="577" t="s">
        <v>611</v>
      </c>
      <c r="Q801" s="572"/>
      <c r="R801" s="573"/>
      <c r="S801" s="574"/>
      <c r="T801" s="574"/>
      <c r="U801" s="574"/>
      <c r="V801" s="574"/>
      <c r="W801" s="574"/>
      <c r="X801" s="572"/>
      <c r="Y801" s="572"/>
      <c r="Z801" s="572"/>
      <c r="AB801" s="573" t="s">
        <v>668</v>
      </c>
    </row>
    <row r="802" spans="1:28" s="575" customFormat="1">
      <c r="A802" s="616"/>
      <c r="B802" s="576" t="s">
        <v>753</v>
      </c>
      <c r="C802" s="591"/>
      <c r="D802" s="617">
        <v>1</v>
      </c>
      <c r="E802" s="618"/>
      <c r="F802" s="619"/>
      <c r="G802" s="620"/>
      <c r="H802" s="621"/>
      <c r="I802" s="621"/>
      <c r="J802" s="623"/>
      <c r="K802" s="586"/>
      <c r="L802" s="586"/>
      <c r="M802" s="571"/>
      <c r="N802" s="588"/>
      <c r="O802" s="588"/>
      <c r="P802" s="589"/>
      <c r="Q802" s="572"/>
      <c r="R802" s="573"/>
      <c r="S802" s="574"/>
      <c r="T802" s="574"/>
      <c r="U802" s="574"/>
      <c r="V802" s="574"/>
      <c r="W802" s="574"/>
      <c r="X802" s="572"/>
      <c r="Y802" s="572"/>
      <c r="Z802" s="572"/>
      <c r="AB802" s="573"/>
    </row>
    <row r="803" spans="1:28" s="575" customFormat="1">
      <c r="A803" s="616"/>
      <c r="B803" s="576" t="s">
        <v>984</v>
      </c>
      <c r="C803" s="591"/>
      <c r="D803" s="617">
        <v>1</v>
      </c>
      <c r="E803" s="618"/>
      <c r="F803" s="619"/>
      <c r="G803" s="620"/>
      <c r="H803" s="621"/>
      <c r="I803" s="621"/>
      <c r="J803" s="623"/>
      <c r="K803" s="586"/>
      <c r="L803" s="586"/>
      <c r="M803" s="571"/>
      <c r="N803" s="588"/>
      <c r="O803" s="588"/>
      <c r="P803" s="589"/>
      <c r="Q803" s="572"/>
      <c r="R803" s="573"/>
      <c r="S803" s="574"/>
      <c r="T803" s="574"/>
      <c r="U803" s="574"/>
      <c r="V803" s="574"/>
      <c r="W803" s="574"/>
      <c r="X803" s="572"/>
      <c r="Y803" s="572"/>
      <c r="Z803" s="572"/>
      <c r="AB803" s="573"/>
    </row>
    <row r="804" spans="1:28" s="575" customFormat="1">
      <c r="A804" s="616"/>
      <c r="B804" s="576" t="s">
        <v>985</v>
      </c>
      <c r="C804" s="591"/>
      <c r="D804" s="617">
        <v>3</v>
      </c>
      <c r="E804" s="618"/>
      <c r="F804" s="619"/>
      <c r="G804" s="620"/>
      <c r="H804" s="621"/>
      <c r="I804" s="621"/>
      <c r="J804" s="623"/>
      <c r="K804" s="586"/>
      <c r="L804" s="586"/>
      <c r="M804" s="571"/>
      <c r="N804" s="588"/>
      <c r="O804" s="588"/>
      <c r="P804" s="589"/>
      <c r="Q804" s="572"/>
      <c r="R804" s="573"/>
      <c r="S804" s="574"/>
      <c r="T804" s="574"/>
      <c r="U804" s="574"/>
      <c r="V804" s="574"/>
      <c r="W804" s="574"/>
      <c r="X804" s="572"/>
      <c r="Y804" s="572"/>
      <c r="Z804" s="572"/>
      <c r="AB804" s="573"/>
    </row>
    <row r="805" spans="1:28" s="575" customFormat="1">
      <c r="A805" s="616"/>
      <c r="B805" s="576" t="s">
        <v>986</v>
      </c>
      <c r="C805" s="591"/>
      <c r="D805" s="617">
        <v>3</v>
      </c>
      <c r="E805" s="618"/>
      <c r="F805" s="619"/>
      <c r="G805" s="620"/>
      <c r="H805" s="621"/>
      <c r="I805" s="621"/>
      <c r="J805" s="623"/>
      <c r="K805" s="586"/>
      <c r="L805" s="586"/>
      <c r="M805" s="571"/>
      <c r="N805" s="588"/>
      <c r="O805" s="588"/>
      <c r="P805" s="589"/>
      <c r="Q805" s="572"/>
      <c r="R805" s="573"/>
      <c r="S805" s="574"/>
      <c r="T805" s="574"/>
      <c r="U805" s="574"/>
      <c r="V805" s="574"/>
      <c r="W805" s="574"/>
      <c r="X805" s="572"/>
      <c r="Y805" s="572"/>
      <c r="Z805" s="572"/>
      <c r="AB805" s="573"/>
    </row>
    <row r="806" spans="1:28" s="575" customFormat="1">
      <c r="A806" s="616"/>
      <c r="B806" s="576" t="s">
        <v>987</v>
      </c>
      <c r="C806" s="591"/>
      <c r="D806" s="617">
        <v>1</v>
      </c>
      <c r="E806" s="618"/>
      <c r="F806" s="619"/>
      <c r="G806" s="620"/>
      <c r="H806" s="621"/>
      <c r="I806" s="621"/>
      <c r="J806" s="623"/>
      <c r="K806" s="586"/>
      <c r="L806" s="586"/>
      <c r="M806" s="571"/>
      <c r="N806" s="588"/>
      <c r="O806" s="588"/>
      <c r="P806" s="589"/>
      <c r="Q806" s="572"/>
      <c r="R806" s="573"/>
      <c r="S806" s="574"/>
      <c r="T806" s="574"/>
      <c r="U806" s="574"/>
      <c r="V806" s="574"/>
      <c r="W806" s="574"/>
      <c r="X806" s="572"/>
      <c r="Y806" s="572"/>
      <c r="Z806" s="572"/>
      <c r="AB806" s="573"/>
    </row>
    <row r="807" spans="1:28" s="575" customFormat="1">
      <c r="A807" s="616"/>
      <c r="B807" s="576" t="s">
        <v>988</v>
      </c>
      <c r="C807" s="591"/>
      <c r="D807" s="617">
        <v>1</v>
      </c>
      <c r="E807" s="618"/>
      <c r="F807" s="619"/>
      <c r="G807" s="620"/>
      <c r="H807" s="621"/>
      <c r="I807" s="621"/>
      <c r="J807" s="623"/>
      <c r="K807" s="586"/>
      <c r="L807" s="586"/>
      <c r="M807" s="571"/>
      <c r="N807" s="588"/>
      <c r="O807" s="588"/>
      <c r="P807" s="589"/>
      <c r="Q807" s="572"/>
      <c r="R807" s="573"/>
      <c r="S807" s="574"/>
      <c r="T807" s="574"/>
      <c r="U807" s="574"/>
      <c r="V807" s="574"/>
      <c r="W807" s="574"/>
      <c r="X807" s="572"/>
      <c r="Y807" s="572"/>
      <c r="Z807" s="572"/>
      <c r="AB807" s="573"/>
    </row>
    <row r="808" spans="1:28" s="575" customFormat="1">
      <c r="A808" s="616"/>
      <c r="B808" s="576" t="s">
        <v>856</v>
      </c>
      <c r="C808" s="591"/>
      <c r="D808" s="617">
        <v>1</v>
      </c>
      <c r="E808" s="618"/>
      <c r="F808" s="619"/>
      <c r="G808" s="620"/>
      <c r="H808" s="621"/>
      <c r="I808" s="621"/>
      <c r="J808" s="623"/>
      <c r="K808" s="586"/>
      <c r="L808" s="586"/>
      <c r="M808" s="571"/>
      <c r="N808" s="588"/>
      <c r="O808" s="588"/>
      <c r="P808" s="589"/>
      <c r="Q808" s="572"/>
      <c r="R808" s="573"/>
      <c r="S808" s="574"/>
      <c r="T808" s="574"/>
      <c r="U808" s="574"/>
      <c r="V808" s="574"/>
      <c r="W808" s="574"/>
      <c r="X808" s="572"/>
      <c r="Y808" s="572"/>
      <c r="Z808" s="572"/>
      <c r="AB808" s="573"/>
    </row>
    <row r="809" spans="1:28" s="575" customFormat="1">
      <c r="A809" s="616"/>
      <c r="B809" s="576" t="s">
        <v>857</v>
      </c>
      <c r="C809" s="591"/>
      <c r="D809" s="617">
        <v>1</v>
      </c>
      <c r="E809" s="618"/>
      <c r="F809" s="619"/>
      <c r="G809" s="620"/>
      <c r="H809" s="621"/>
      <c r="I809" s="621"/>
      <c r="J809" s="623"/>
      <c r="K809" s="586"/>
      <c r="L809" s="586"/>
      <c r="M809" s="571"/>
      <c r="N809" s="588"/>
      <c r="O809" s="588"/>
      <c r="P809" s="589"/>
      <c r="Q809" s="572"/>
      <c r="R809" s="573"/>
      <c r="S809" s="574"/>
      <c r="T809" s="574"/>
      <c r="U809" s="574"/>
      <c r="V809" s="574"/>
      <c r="W809" s="574"/>
      <c r="X809" s="572"/>
      <c r="Y809" s="572"/>
      <c r="Z809" s="572"/>
      <c r="AB809" s="573"/>
    </row>
    <row r="810" spans="1:28" s="478" customFormat="1" ht="29.25" customHeight="1">
      <c r="A810" s="463" t="s">
        <v>1021</v>
      </c>
      <c r="B810" s="464" t="s">
        <v>1022</v>
      </c>
      <c r="C810" s="465" t="s">
        <v>195</v>
      </c>
      <c r="D810" s="466"/>
      <c r="E810" s="467"/>
      <c r="F810" s="468"/>
      <c r="G810" s="469"/>
      <c r="H810" s="470"/>
      <c r="I810" s="470"/>
      <c r="J810" s="472"/>
      <c r="K810" s="473"/>
      <c r="L810" s="473"/>
      <c r="M810" s="474"/>
      <c r="N810" s="479"/>
      <c r="O810" s="479"/>
      <c r="P810" s="480"/>
      <c r="Q810" s="475"/>
      <c r="R810" s="476"/>
      <c r="S810" s="477"/>
      <c r="T810" s="477"/>
      <c r="U810" s="477"/>
      <c r="V810" s="477"/>
      <c r="W810" s="477"/>
      <c r="X810" s="475"/>
      <c r="Y810" s="475"/>
      <c r="Z810" s="475"/>
      <c r="AB810" s="476"/>
    </row>
    <row r="811" spans="1:28" s="575" customFormat="1">
      <c r="A811" s="616"/>
      <c r="B811" s="570" t="s">
        <v>669</v>
      </c>
      <c r="C811" s="591"/>
      <c r="D811" s="617"/>
      <c r="E811" s="618"/>
      <c r="F811" s="619"/>
      <c r="G811" s="620"/>
      <c r="H811" s="621"/>
      <c r="I811" s="622"/>
      <c r="J811" s="623"/>
      <c r="K811" s="586"/>
      <c r="L811" s="586"/>
      <c r="M811" s="571"/>
      <c r="N811" s="577" t="s">
        <v>611</v>
      </c>
      <c r="O811" s="577" t="s">
        <v>611</v>
      </c>
      <c r="P811" s="577" t="s">
        <v>611</v>
      </c>
      <c r="Q811" s="572"/>
      <c r="R811" s="573"/>
      <c r="S811" s="574"/>
      <c r="T811" s="574"/>
      <c r="U811" s="574"/>
      <c r="V811" s="574"/>
      <c r="W811" s="574"/>
      <c r="X811" s="572"/>
      <c r="Y811" s="572"/>
      <c r="Z811" s="572"/>
      <c r="AB811" s="573" t="s">
        <v>668</v>
      </c>
    </row>
    <row r="812" spans="1:28" s="575" customFormat="1">
      <c r="A812" s="616"/>
      <c r="B812" s="591" t="s">
        <v>666</v>
      </c>
      <c r="C812" s="591"/>
      <c r="D812" s="617"/>
      <c r="E812" s="618"/>
      <c r="F812" s="619"/>
      <c r="G812" s="620"/>
      <c r="H812" s="622"/>
      <c r="I812" s="622"/>
      <c r="J812" s="623"/>
      <c r="K812" s="586"/>
      <c r="L812" s="586"/>
      <c r="M812" s="571"/>
      <c r="N812" s="577" t="s">
        <v>611</v>
      </c>
      <c r="O812" s="577" t="s">
        <v>611</v>
      </c>
      <c r="P812" s="577" t="s">
        <v>611</v>
      </c>
      <c r="Q812" s="572"/>
      <c r="R812" s="573"/>
      <c r="S812" s="574"/>
      <c r="T812" s="574"/>
      <c r="U812" s="574"/>
      <c r="V812" s="574"/>
      <c r="W812" s="574"/>
      <c r="X812" s="572"/>
      <c r="Y812" s="572"/>
      <c r="Z812" s="572"/>
      <c r="AB812" s="573" t="s">
        <v>668</v>
      </c>
    </row>
    <row r="813" spans="1:28" s="575" customFormat="1">
      <c r="A813" s="616"/>
      <c r="B813" s="576" t="s">
        <v>118</v>
      </c>
      <c r="C813" s="591"/>
      <c r="D813" s="617">
        <v>2</v>
      </c>
      <c r="E813" s="618"/>
      <c r="F813" s="619"/>
      <c r="G813" s="620"/>
      <c r="H813" s="621"/>
      <c r="I813" s="621"/>
      <c r="J813" s="623"/>
      <c r="K813" s="586"/>
      <c r="L813" s="586"/>
      <c r="M813" s="571"/>
      <c r="N813" s="588"/>
      <c r="O813" s="588"/>
      <c r="P813" s="589"/>
      <c r="Q813" s="572"/>
      <c r="R813" s="573"/>
      <c r="S813" s="574"/>
      <c r="T813" s="574"/>
      <c r="U813" s="574"/>
      <c r="V813" s="574"/>
      <c r="W813" s="574"/>
      <c r="X813" s="572"/>
      <c r="Y813" s="572"/>
      <c r="Z813" s="572"/>
      <c r="AB813" s="573"/>
    </row>
    <row r="814" spans="1:28" s="575" customFormat="1">
      <c r="A814" s="616"/>
      <c r="B814" s="576"/>
      <c r="C814" s="591"/>
      <c r="D814" s="617"/>
      <c r="E814" s="618"/>
      <c r="F814" s="619"/>
      <c r="G814" s="620"/>
      <c r="H814" s="621"/>
      <c r="I814" s="621"/>
      <c r="J814" s="623"/>
      <c r="K814" s="586"/>
      <c r="L814" s="586"/>
      <c r="M814" s="571"/>
      <c r="N814" s="588"/>
      <c r="O814" s="588"/>
      <c r="P814" s="589"/>
      <c r="Q814" s="572"/>
      <c r="R814" s="573"/>
      <c r="S814" s="574"/>
      <c r="T814" s="574"/>
      <c r="U814" s="574"/>
      <c r="V814" s="574"/>
      <c r="W814" s="574"/>
      <c r="X814" s="572"/>
      <c r="Y814" s="572"/>
      <c r="Z814" s="572"/>
      <c r="AB814" s="573"/>
    </row>
    <row r="815" spans="1:28" s="478" customFormat="1" ht="35.25" customHeight="1">
      <c r="A815" s="463" t="s">
        <v>1023</v>
      </c>
      <c r="B815" s="464" t="s">
        <v>1024</v>
      </c>
      <c r="C815" s="465" t="s">
        <v>195</v>
      </c>
      <c r="D815" s="466"/>
      <c r="E815" s="467"/>
      <c r="F815" s="468"/>
      <c r="G815" s="469"/>
      <c r="H815" s="470"/>
      <c r="I815" s="470"/>
      <c r="J815" s="472"/>
      <c r="K815" s="473"/>
      <c r="L815" s="473"/>
      <c r="M815" s="474"/>
      <c r="N815" s="479"/>
      <c r="O815" s="479"/>
      <c r="P815" s="480"/>
      <c r="Q815" s="475"/>
      <c r="R815" s="476"/>
      <c r="S815" s="477"/>
      <c r="T815" s="477"/>
      <c r="U815" s="477"/>
      <c r="V815" s="477"/>
      <c r="W815" s="477"/>
      <c r="X815" s="475"/>
      <c r="Y815" s="475"/>
      <c r="Z815" s="475"/>
      <c r="AB815" s="476"/>
    </row>
    <row r="816" spans="1:28" s="575" customFormat="1">
      <c r="A816" s="616"/>
      <c r="B816" s="570" t="s">
        <v>669</v>
      </c>
      <c r="C816" s="591"/>
      <c r="D816" s="617"/>
      <c r="E816" s="618"/>
      <c r="F816" s="619"/>
      <c r="G816" s="620"/>
      <c r="H816" s="621"/>
      <c r="I816" s="622"/>
      <c r="J816" s="623"/>
      <c r="K816" s="586"/>
      <c r="L816" s="586"/>
      <c r="M816" s="571"/>
      <c r="N816" s="577" t="s">
        <v>611</v>
      </c>
      <c r="O816" s="577" t="s">
        <v>611</v>
      </c>
      <c r="P816" s="577" t="s">
        <v>611</v>
      </c>
      <c r="Q816" s="572"/>
      <c r="R816" s="573"/>
      <c r="S816" s="574"/>
      <c r="T816" s="574"/>
      <c r="U816" s="574"/>
      <c r="V816" s="574"/>
      <c r="W816" s="574"/>
      <c r="X816" s="572"/>
      <c r="Y816" s="572"/>
      <c r="Z816" s="572"/>
      <c r="AB816" s="573" t="s">
        <v>668</v>
      </c>
    </row>
    <row r="817" spans="1:28" s="575" customFormat="1">
      <c r="A817" s="616"/>
      <c r="B817" s="576" t="s">
        <v>753</v>
      </c>
      <c r="C817" s="591"/>
      <c r="D817" s="617">
        <v>1</v>
      </c>
      <c r="E817" s="618"/>
      <c r="F817" s="619"/>
      <c r="G817" s="620"/>
      <c r="H817" s="621"/>
      <c r="I817" s="621"/>
      <c r="J817" s="623"/>
      <c r="K817" s="586"/>
      <c r="L817" s="586"/>
      <c r="M817" s="571"/>
      <c r="N817" s="588"/>
      <c r="O817" s="588"/>
      <c r="P817" s="589"/>
      <c r="Q817" s="572"/>
      <c r="R817" s="573"/>
      <c r="S817" s="574"/>
      <c r="T817" s="574"/>
      <c r="U817" s="574"/>
      <c r="V817" s="574"/>
      <c r="W817" s="574"/>
      <c r="X817" s="572"/>
      <c r="Y817" s="572"/>
      <c r="Z817" s="572"/>
      <c r="AB817" s="573"/>
    </row>
    <row r="818" spans="1:28" s="575" customFormat="1">
      <c r="A818" s="616"/>
      <c r="B818" s="576" t="s">
        <v>984</v>
      </c>
      <c r="C818" s="591"/>
      <c r="D818" s="617">
        <v>1</v>
      </c>
      <c r="E818" s="618"/>
      <c r="F818" s="619"/>
      <c r="G818" s="620"/>
      <c r="H818" s="621"/>
      <c r="I818" s="621"/>
      <c r="J818" s="623"/>
      <c r="K818" s="586"/>
      <c r="L818" s="586"/>
      <c r="M818" s="571"/>
      <c r="N818" s="588"/>
      <c r="O818" s="588"/>
      <c r="P818" s="589"/>
      <c r="Q818" s="572"/>
      <c r="R818" s="573"/>
      <c r="S818" s="574"/>
      <c r="T818" s="574"/>
      <c r="U818" s="574"/>
      <c r="V818" s="574"/>
      <c r="W818" s="574"/>
      <c r="X818" s="572"/>
      <c r="Y818" s="572"/>
      <c r="Z818" s="572"/>
      <c r="AB818" s="573"/>
    </row>
    <row r="819" spans="1:28" s="575" customFormat="1">
      <c r="A819" s="616"/>
      <c r="B819" s="576" t="s">
        <v>985</v>
      </c>
      <c r="C819" s="591"/>
      <c r="D819" s="617">
        <v>3</v>
      </c>
      <c r="E819" s="618"/>
      <c r="F819" s="619"/>
      <c r="G819" s="620"/>
      <c r="H819" s="621"/>
      <c r="I819" s="621"/>
      <c r="J819" s="623"/>
      <c r="K819" s="586"/>
      <c r="L819" s="586"/>
      <c r="M819" s="571"/>
      <c r="N819" s="588"/>
      <c r="O819" s="588"/>
      <c r="P819" s="589"/>
      <c r="Q819" s="572"/>
      <c r="R819" s="573"/>
      <c r="S819" s="574"/>
      <c r="T819" s="574"/>
      <c r="U819" s="574"/>
      <c r="V819" s="574"/>
      <c r="W819" s="574"/>
      <c r="X819" s="572"/>
      <c r="Y819" s="572"/>
      <c r="Z819" s="572"/>
      <c r="AB819" s="573"/>
    </row>
    <row r="820" spans="1:28" s="575" customFormat="1">
      <c r="A820" s="616"/>
      <c r="B820" s="576" t="s">
        <v>986</v>
      </c>
      <c r="C820" s="591"/>
      <c r="D820" s="617">
        <v>3</v>
      </c>
      <c r="E820" s="618"/>
      <c r="F820" s="619"/>
      <c r="G820" s="620"/>
      <c r="H820" s="621"/>
      <c r="I820" s="621"/>
      <c r="J820" s="623"/>
      <c r="K820" s="586"/>
      <c r="L820" s="586"/>
      <c r="M820" s="571"/>
      <c r="N820" s="588"/>
      <c r="O820" s="588"/>
      <c r="P820" s="589"/>
      <c r="Q820" s="572"/>
      <c r="R820" s="573"/>
      <c r="S820" s="574"/>
      <c r="T820" s="574"/>
      <c r="U820" s="574"/>
      <c r="V820" s="574"/>
      <c r="W820" s="574"/>
      <c r="X820" s="572"/>
      <c r="Y820" s="572"/>
      <c r="Z820" s="572"/>
      <c r="AB820" s="573"/>
    </row>
    <row r="821" spans="1:28" s="478" customFormat="1" ht="35.25" customHeight="1">
      <c r="A821" s="463" t="s">
        <v>1025</v>
      </c>
      <c r="B821" s="464" t="s">
        <v>1026</v>
      </c>
      <c r="C821" s="465" t="s">
        <v>195</v>
      </c>
      <c r="D821" s="466"/>
      <c r="E821" s="467"/>
      <c r="F821" s="468"/>
      <c r="G821" s="469"/>
      <c r="H821" s="470"/>
      <c r="I821" s="470"/>
      <c r="J821" s="472"/>
      <c r="K821" s="473"/>
      <c r="L821" s="473"/>
      <c r="M821" s="474"/>
      <c r="N821" s="479"/>
      <c r="O821" s="479"/>
      <c r="P821" s="480"/>
      <c r="Q821" s="475"/>
      <c r="R821" s="476"/>
      <c r="S821" s="477"/>
      <c r="T821" s="477"/>
      <c r="U821" s="477"/>
      <c r="V821" s="477"/>
      <c r="W821" s="477"/>
      <c r="X821" s="475"/>
      <c r="Y821" s="475"/>
      <c r="Z821" s="475"/>
      <c r="AB821" s="476"/>
    </row>
    <row r="822" spans="1:28" s="575" customFormat="1">
      <c r="A822" s="616"/>
      <c r="B822" s="570" t="s">
        <v>669</v>
      </c>
      <c r="C822" s="591"/>
      <c r="D822" s="617"/>
      <c r="E822" s="618"/>
      <c r="F822" s="619"/>
      <c r="G822" s="620"/>
      <c r="H822" s="621"/>
      <c r="I822" s="622"/>
      <c r="J822" s="623"/>
      <c r="K822" s="586"/>
      <c r="L822" s="586"/>
      <c r="M822" s="571"/>
      <c r="N822" s="577" t="s">
        <v>611</v>
      </c>
      <c r="O822" s="577" t="s">
        <v>611</v>
      </c>
      <c r="P822" s="577" t="s">
        <v>611</v>
      </c>
      <c r="Q822" s="572"/>
      <c r="R822" s="573"/>
      <c r="S822" s="574"/>
      <c r="T822" s="574"/>
      <c r="U822" s="574"/>
      <c r="V822" s="574"/>
      <c r="W822" s="574"/>
      <c r="X822" s="572"/>
      <c r="Y822" s="572"/>
      <c r="Z822" s="572"/>
      <c r="AB822" s="573" t="s">
        <v>668</v>
      </c>
    </row>
    <row r="823" spans="1:28" s="575" customFormat="1">
      <c r="A823" s="616"/>
      <c r="B823" s="576" t="s">
        <v>987</v>
      </c>
      <c r="C823" s="591"/>
      <c r="D823" s="617">
        <v>1</v>
      </c>
      <c r="E823" s="618"/>
      <c r="F823" s="619"/>
      <c r="G823" s="620"/>
      <c r="H823" s="621"/>
      <c r="I823" s="621"/>
      <c r="J823" s="623"/>
      <c r="K823" s="586"/>
      <c r="L823" s="586"/>
      <c r="M823" s="571"/>
      <c r="N823" s="588"/>
      <c r="O823" s="588"/>
      <c r="P823" s="589"/>
      <c r="Q823" s="572"/>
      <c r="R823" s="573"/>
      <c r="S823" s="574"/>
      <c r="T823" s="574"/>
      <c r="U823" s="574"/>
      <c r="V823" s="574"/>
      <c r="W823" s="574"/>
      <c r="X823" s="572"/>
      <c r="Y823" s="572"/>
      <c r="Z823" s="572"/>
      <c r="AB823" s="573"/>
    </row>
    <row r="824" spans="1:28" s="575" customFormat="1">
      <c r="A824" s="616"/>
      <c r="B824" s="576" t="s">
        <v>988</v>
      </c>
      <c r="C824" s="591"/>
      <c r="D824" s="617">
        <v>1</v>
      </c>
      <c r="E824" s="618"/>
      <c r="F824" s="619"/>
      <c r="G824" s="620"/>
      <c r="H824" s="621"/>
      <c r="I824" s="621"/>
      <c r="J824" s="623"/>
      <c r="K824" s="586"/>
      <c r="L824" s="586"/>
      <c r="M824" s="571"/>
      <c r="N824" s="588"/>
      <c r="O824" s="588"/>
      <c r="P824" s="589"/>
      <c r="Q824" s="572"/>
      <c r="R824" s="573"/>
      <c r="S824" s="574"/>
      <c r="T824" s="574"/>
      <c r="U824" s="574"/>
      <c r="V824" s="574"/>
      <c r="W824" s="574"/>
      <c r="X824" s="572"/>
      <c r="Y824" s="572"/>
      <c r="Z824" s="572"/>
      <c r="AB824" s="573"/>
    </row>
    <row r="825" spans="1:28" s="575" customFormat="1">
      <c r="A825" s="616"/>
      <c r="B825" s="576" t="s">
        <v>856</v>
      </c>
      <c r="C825" s="591"/>
      <c r="D825" s="617">
        <v>1</v>
      </c>
      <c r="E825" s="618"/>
      <c r="F825" s="619"/>
      <c r="G825" s="620"/>
      <c r="H825" s="621"/>
      <c r="I825" s="621"/>
      <c r="J825" s="623"/>
      <c r="K825" s="586"/>
      <c r="L825" s="586"/>
      <c r="M825" s="571"/>
      <c r="N825" s="588"/>
      <c r="O825" s="588"/>
      <c r="P825" s="589"/>
      <c r="Q825" s="572"/>
      <c r="R825" s="573"/>
      <c r="S825" s="574"/>
      <c r="T825" s="574"/>
      <c r="U825" s="574"/>
      <c r="V825" s="574"/>
      <c r="W825" s="574"/>
      <c r="X825" s="572"/>
      <c r="Y825" s="572"/>
      <c r="Z825" s="572"/>
      <c r="AB825" s="573"/>
    </row>
    <row r="826" spans="1:28" s="575" customFormat="1">
      <c r="A826" s="616"/>
      <c r="B826" s="576" t="s">
        <v>857</v>
      </c>
      <c r="C826" s="591"/>
      <c r="D826" s="617">
        <v>1</v>
      </c>
      <c r="E826" s="618"/>
      <c r="F826" s="619"/>
      <c r="G826" s="620"/>
      <c r="H826" s="621"/>
      <c r="I826" s="621"/>
      <c r="J826" s="623"/>
      <c r="K826" s="586"/>
      <c r="L826" s="586"/>
      <c r="M826" s="571"/>
      <c r="N826" s="588"/>
      <c r="O826" s="588"/>
      <c r="P826" s="589"/>
      <c r="Q826" s="572"/>
      <c r="R826" s="573"/>
      <c r="S826" s="574"/>
      <c r="T826" s="574"/>
      <c r="U826" s="574"/>
      <c r="V826" s="574"/>
      <c r="W826" s="574"/>
      <c r="X826" s="572"/>
      <c r="Y826" s="572"/>
      <c r="Z826" s="572"/>
      <c r="AB826" s="573"/>
    </row>
    <row r="827" spans="1:28" s="478" customFormat="1" ht="29.25" customHeight="1">
      <c r="A827" s="463" t="s">
        <v>1027</v>
      </c>
      <c r="B827" s="464" t="s">
        <v>1028</v>
      </c>
      <c r="C827" s="465" t="s">
        <v>195</v>
      </c>
      <c r="D827" s="466"/>
      <c r="E827" s="467"/>
      <c r="F827" s="468"/>
      <c r="G827" s="469"/>
      <c r="H827" s="470"/>
      <c r="I827" s="470"/>
      <c r="J827" s="472"/>
      <c r="K827" s="473"/>
      <c r="L827" s="473"/>
      <c r="M827" s="474"/>
      <c r="N827" s="479"/>
      <c r="O827" s="479"/>
      <c r="P827" s="480"/>
      <c r="Q827" s="475"/>
      <c r="R827" s="476"/>
      <c r="S827" s="477"/>
      <c r="T827" s="477"/>
      <c r="U827" s="477"/>
      <c r="V827" s="477"/>
      <c r="W827" s="477"/>
      <c r="X827" s="475"/>
      <c r="Y827" s="475"/>
      <c r="Z827" s="475"/>
      <c r="AB827" s="476"/>
    </row>
    <row r="828" spans="1:28" s="575" customFormat="1">
      <c r="A828" s="616"/>
      <c r="B828" s="570" t="s">
        <v>669</v>
      </c>
      <c r="C828" s="591"/>
      <c r="D828" s="617"/>
      <c r="E828" s="618"/>
      <c r="F828" s="619"/>
      <c r="G828" s="620"/>
      <c r="H828" s="621"/>
      <c r="I828" s="622"/>
      <c r="J828" s="623"/>
      <c r="K828" s="586"/>
      <c r="L828" s="586"/>
      <c r="M828" s="571"/>
      <c r="N828" s="577" t="s">
        <v>611</v>
      </c>
      <c r="O828" s="577" t="s">
        <v>611</v>
      </c>
      <c r="P828" s="577" t="s">
        <v>611</v>
      </c>
      <c r="Q828" s="572"/>
      <c r="R828" s="573"/>
      <c r="S828" s="574"/>
      <c r="T828" s="574"/>
      <c r="U828" s="574"/>
      <c r="V828" s="574"/>
      <c r="W828" s="574"/>
      <c r="X828" s="572"/>
      <c r="Y828" s="572"/>
      <c r="Z828" s="572"/>
      <c r="AB828" s="573" t="s">
        <v>668</v>
      </c>
    </row>
    <row r="829" spans="1:28" s="575" customFormat="1">
      <c r="A829" s="616"/>
      <c r="B829" s="576" t="s">
        <v>118</v>
      </c>
      <c r="C829" s="591"/>
      <c r="D829" s="617">
        <v>2</v>
      </c>
      <c r="E829" s="618"/>
      <c r="F829" s="619"/>
      <c r="G829" s="620"/>
      <c r="H829" s="621"/>
      <c r="I829" s="621"/>
      <c r="J829" s="623"/>
      <c r="K829" s="586"/>
      <c r="L829" s="586"/>
      <c r="M829" s="571"/>
      <c r="N829" s="588"/>
      <c r="O829" s="588"/>
      <c r="P829" s="589"/>
      <c r="Q829" s="572"/>
      <c r="R829" s="573"/>
      <c r="S829" s="574"/>
      <c r="T829" s="574"/>
      <c r="U829" s="574"/>
      <c r="V829" s="574"/>
      <c r="W829" s="574"/>
      <c r="X829" s="572"/>
      <c r="Y829" s="572"/>
      <c r="Z829" s="572"/>
      <c r="AB829" s="573"/>
    </row>
    <row r="830" spans="1:28" s="478" customFormat="1" ht="35.25" customHeight="1">
      <c r="A830" s="463" t="s">
        <v>1029</v>
      </c>
      <c r="B830" s="464" t="s">
        <v>1030</v>
      </c>
      <c r="C830" s="465" t="s">
        <v>195</v>
      </c>
      <c r="D830" s="466"/>
      <c r="E830" s="467"/>
      <c r="F830" s="468"/>
      <c r="G830" s="469"/>
      <c r="H830" s="470"/>
      <c r="I830" s="470"/>
      <c r="J830" s="472"/>
      <c r="K830" s="473"/>
      <c r="L830" s="473"/>
      <c r="M830" s="474"/>
      <c r="N830" s="479"/>
      <c r="O830" s="479"/>
      <c r="P830" s="480"/>
      <c r="Q830" s="475"/>
      <c r="R830" s="476"/>
      <c r="S830" s="477"/>
      <c r="T830" s="477"/>
      <c r="U830" s="477"/>
      <c r="V830" s="477"/>
      <c r="W830" s="477"/>
      <c r="X830" s="475"/>
      <c r="Y830" s="475"/>
      <c r="Z830" s="475"/>
      <c r="AB830" s="476"/>
    </row>
    <row r="831" spans="1:28" s="575" customFormat="1">
      <c r="A831" s="616"/>
      <c r="B831" s="570" t="s">
        <v>669</v>
      </c>
      <c r="C831" s="591"/>
      <c r="D831" s="617"/>
      <c r="E831" s="618"/>
      <c r="F831" s="619"/>
      <c r="G831" s="620"/>
      <c r="H831" s="621"/>
      <c r="I831" s="622"/>
      <c r="J831" s="623"/>
      <c r="K831" s="586"/>
      <c r="L831" s="586"/>
      <c r="M831" s="571"/>
      <c r="N831" s="577" t="s">
        <v>611</v>
      </c>
      <c r="O831" s="577" t="s">
        <v>611</v>
      </c>
      <c r="P831" s="577" t="s">
        <v>611</v>
      </c>
      <c r="Q831" s="572"/>
      <c r="R831" s="573"/>
      <c r="S831" s="574"/>
      <c r="T831" s="574"/>
      <c r="U831" s="574"/>
      <c r="V831" s="574"/>
      <c r="W831" s="574"/>
      <c r="X831" s="572"/>
      <c r="Y831" s="572"/>
      <c r="Z831" s="572"/>
      <c r="AB831" s="573" t="s">
        <v>668</v>
      </c>
    </row>
    <row r="832" spans="1:28" s="575" customFormat="1">
      <c r="A832" s="616"/>
      <c r="B832" s="591" t="s">
        <v>666</v>
      </c>
      <c r="C832" s="591"/>
      <c r="D832" s="617"/>
      <c r="E832" s="618"/>
      <c r="F832" s="619"/>
      <c r="G832" s="620"/>
      <c r="H832" s="621"/>
      <c r="I832" s="621"/>
      <c r="J832" s="623"/>
      <c r="K832" s="586"/>
      <c r="L832" s="586"/>
      <c r="M832" s="571"/>
      <c r="N832" s="588"/>
      <c r="O832" s="588"/>
      <c r="P832" s="589"/>
      <c r="Q832" s="572"/>
      <c r="R832" s="573"/>
      <c r="S832" s="574"/>
      <c r="T832" s="574"/>
      <c r="U832" s="574"/>
      <c r="V832" s="574"/>
      <c r="W832" s="574"/>
      <c r="X832" s="572"/>
      <c r="Y832" s="572"/>
      <c r="Z832" s="572"/>
      <c r="AB832" s="573"/>
    </row>
    <row r="833" spans="1:28" s="575" customFormat="1">
      <c r="A833" s="616"/>
      <c r="B833" s="576" t="s">
        <v>753</v>
      </c>
      <c r="C833" s="591"/>
      <c r="D833" s="617">
        <v>1</v>
      </c>
      <c r="E833" s="618"/>
      <c r="F833" s="619"/>
      <c r="G833" s="620"/>
      <c r="H833" s="621"/>
      <c r="I833" s="621"/>
      <c r="J833" s="623"/>
      <c r="K833" s="586"/>
      <c r="L833" s="586"/>
      <c r="M833" s="571"/>
      <c r="N833" s="588"/>
      <c r="O833" s="588"/>
      <c r="P833" s="589"/>
      <c r="Q833" s="572"/>
      <c r="R833" s="573"/>
      <c r="S833" s="574"/>
      <c r="T833" s="574"/>
      <c r="U833" s="574"/>
      <c r="V833" s="574"/>
      <c r="W833" s="574"/>
      <c r="X833" s="572"/>
      <c r="Y833" s="572"/>
      <c r="Z833" s="572"/>
      <c r="AB833" s="573"/>
    </row>
    <row r="834" spans="1:28" s="575" customFormat="1">
      <c r="A834" s="616"/>
      <c r="B834" s="576" t="s">
        <v>984</v>
      </c>
      <c r="C834" s="591"/>
      <c r="D834" s="617">
        <v>1</v>
      </c>
      <c r="E834" s="618"/>
      <c r="F834" s="619"/>
      <c r="G834" s="620"/>
      <c r="H834" s="621"/>
      <c r="I834" s="621"/>
      <c r="J834" s="623"/>
      <c r="K834" s="586"/>
      <c r="L834" s="586"/>
      <c r="M834" s="571"/>
      <c r="N834" s="588"/>
      <c r="O834" s="588"/>
      <c r="P834" s="589"/>
      <c r="Q834" s="572"/>
      <c r="R834" s="573"/>
      <c r="S834" s="574"/>
      <c r="T834" s="574"/>
      <c r="U834" s="574"/>
      <c r="V834" s="574"/>
      <c r="W834" s="574"/>
      <c r="X834" s="572"/>
      <c r="Y834" s="572"/>
      <c r="Z834" s="572"/>
      <c r="AB834" s="573"/>
    </row>
    <row r="835" spans="1:28" s="478" customFormat="1" ht="35.25" customHeight="1">
      <c r="A835" s="463" t="s">
        <v>1031</v>
      </c>
      <c r="B835" s="464" t="s">
        <v>1032</v>
      </c>
      <c r="C835" s="465" t="s">
        <v>195</v>
      </c>
      <c r="D835" s="466"/>
      <c r="E835" s="467"/>
      <c r="F835" s="468"/>
      <c r="G835" s="469"/>
      <c r="H835" s="470"/>
      <c r="I835" s="470"/>
      <c r="J835" s="472"/>
      <c r="K835" s="473"/>
      <c r="L835" s="473"/>
      <c r="M835" s="474"/>
      <c r="N835" s="479"/>
      <c r="O835" s="479"/>
      <c r="P835" s="480"/>
      <c r="Q835" s="475"/>
      <c r="R835" s="476"/>
      <c r="S835" s="477"/>
      <c r="T835" s="477"/>
      <c r="U835" s="477"/>
      <c r="V835" s="477"/>
      <c r="W835" s="477"/>
      <c r="X835" s="475"/>
      <c r="Y835" s="475"/>
      <c r="Z835" s="475"/>
      <c r="AB835" s="476"/>
    </row>
    <row r="836" spans="1:28" s="575" customFormat="1">
      <c r="A836" s="616"/>
      <c r="B836" s="570" t="s">
        <v>669</v>
      </c>
      <c r="C836" s="591"/>
      <c r="D836" s="617"/>
      <c r="E836" s="618"/>
      <c r="F836" s="619"/>
      <c r="G836" s="620"/>
      <c r="H836" s="621"/>
      <c r="I836" s="622"/>
      <c r="J836" s="623"/>
      <c r="K836" s="586"/>
      <c r="L836" s="586"/>
      <c r="M836" s="571"/>
      <c r="N836" s="577" t="s">
        <v>611</v>
      </c>
      <c r="O836" s="577" t="s">
        <v>611</v>
      </c>
      <c r="P836" s="577" t="s">
        <v>611</v>
      </c>
      <c r="Q836" s="572"/>
      <c r="R836" s="573"/>
      <c r="S836" s="574"/>
      <c r="T836" s="574"/>
      <c r="U836" s="574"/>
      <c r="V836" s="574"/>
      <c r="W836" s="574"/>
      <c r="X836" s="572"/>
      <c r="Y836" s="572"/>
      <c r="Z836" s="572"/>
      <c r="AB836" s="573" t="s">
        <v>668</v>
      </c>
    </row>
    <row r="837" spans="1:28" s="575" customFormat="1">
      <c r="A837" s="616"/>
      <c r="B837" s="591" t="s">
        <v>666</v>
      </c>
      <c r="C837" s="591"/>
      <c r="D837" s="617"/>
      <c r="E837" s="618"/>
      <c r="F837" s="619"/>
      <c r="G837" s="620"/>
      <c r="H837" s="621"/>
      <c r="I837" s="621"/>
      <c r="J837" s="623"/>
      <c r="K837" s="586"/>
      <c r="L837" s="586"/>
      <c r="M837" s="571"/>
      <c r="N837" s="588"/>
      <c r="O837" s="588"/>
      <c r="P837" s="589"/>
      <c r="Q837" s="572"/>
      <c r="R837" s="573"/>
      <c r="S837" s="574"/>
      <c r="T837" s="574"/>
      <c r="U837" s="574"/>
      <c r="V837" s="574"/>
      <c r="W837" s="574"/>
      <c r="X837" s="572"/>
      <c r="Y837" s="572"/>
      <c r="Z837" s="572"/>
      <c r="AB837" s="573"/>
    </row>
    <row r="838" spans="1:28" s="575" customFormat="1">
      <c r="A838" s="616"/>
      <c r="B838" s="576" t="s">
        <v>753</v>
      </c>
      <c r="C838" s="591"/>
      <c r="D838" s="617">
        <v>1</v>
      </c>
      <c r="E838" s="618"/>
      <c r="F838" s="619"/>
      <c r="G838" s="620"/>
      <c r="H838" s="621"/>
      <c r="I838" s="621"/>
      <c r="J838" s="623"/>
      <c r="K838" s="586"/>
      <c r="L838" s="586"/>
      <c r="M838" s="571"/>
      <c r="N838" s="588"/>
      <c r="O838" s="588"/>
      <c r="P838" s="589"/>
      <c r="Q838" s="572"/>
      <c r="R838" s="573"/>
      <c r="S838" s="574"/>
      <c r="T838" s="574"/>
      <c r="U838" s="574"/>
      <c r="V838" s="574"/>
      <c r="W838" s="574"/>
      <c r="X838" s="572"/>
      <c r="Y838" s="572"/>
      <c r="Z838" s="572"/>
      <c r="AB838" s="573"/>
    </row>
    <row r="839" spans="1:28" s="575" customFormat="1">
      <c r="A839" s="616"/>
      <c r="B839" s="576" t="s">
        <v>984</v>
      </c>
      <c r="C839" s="591"/>
      <c r="D839" s="617">
        <v>1</v>
      </c>
      <c r="E839" s="618"/>
      <c r="F839" s="619"/>
      <c r="G839" s="620"/>
      <c r="H839" s="621"/>
      <c r="I839" s="621"/>
      <c r="J839" s="623"/>
      <c r="K839" s="586"/>
      <c r="L839" s="586"/>
      <c r="M839" s="571"/>
      <c r="N839" s="588"/>
      <c r="O839" s="588"/>
      <c r="P839" s="589"/>
      <c r="Q839" s="572"/>
      <c r="R839" s="573"/>
      <c r="S839" s="574"/>
      <c r="T839" s="574"/>
      <c r="U839" s="574"/>
      <c r="V839" s="574"/>
      <c r="W839" s="574"/>
      <c r="X839" s="572"/>
      <c r="Y839" s="572"/>
      <c r="Z839" s="572"/>
      <c r="AB839" s="573"/>
    </row>
    <row r="840" spans="1:28" s="478" customFormat="1" ht="32.25" customHeight="1">
      <c r="A840" s="463" t="s">
        <v>1033</v>
      </c>
      <c r="B840" s="464" t="s">
        <v>1034</v>
      </c>
      <c r="C840" s="465" t="s">
        <v>195</v>
      </c>
      <c r="D840" s="466"/>
      <c r="E840" s="467"/>
      <c r="F840" s="468"/>
      <c r="G840" s="469"/>
      <c r="H840" s="470"/>
      <c r="I840" s="470"/>
      <c r="J840" s="472"/>
      <c r="K840" s="473"/>
      <c r="L840" s="473"/>
      <c r="M840" s="474"/>
      <c r="N840" s="479"/>
      <c r="O840" s="479"/>
      <c r="P840" s="480"/>
      <c r="Q840" s="475"/>
      <c r="R840" s="476"/>
      <c r="S840" s="477"/>
      <c r="T840" s="477"/>
      <c r="U840" s="477"/>
      <c r="V840" s="477"/>
      <c r="W840" s="477"/>
      <c r="X840" s="475"/>
      <c r="Y840" s="475"/>
      <c r="Z840" s="475"/>
      <c r="AB840" s="476"/>
    </row>
    <row r="841" spans="1:28" s="575" customFormat="1">
      <c r="A841" s="616"/>
      <c r="B841" s="570" t="s">
        <v>669</v>
      </c>
      <c r="C841" s="591"/>
      <c r="D841" s="617"/>
      <c r="E841" s="618"/>
      <c r="F841" s="619"/>
      <c r="G841" s="620"/>
      <c r="H841" s="621"/>
      <c r="I841" s="622"/>
      <c r="J841" s="623"/>
      <c r="K841" s="586"/>
      <c r="L841" s="586"/>
      <c r="M841" s="571"/>
      <c r="N841" s="577" t="s">
        <v>611</v>
      </c>
      <c r="O841" s="577" t="s">
        <v>611</v>
      </c>
      <c r="P841" s="577" t="s">
        <v>611</v>
      </c>
      <c r="Q841" s="572"/>
      <c r="R841" s="573"/>
      <c r="S841" s="574"/>
      <c r="T841" s="574"/>
      <c r="U841" s="574"/>
      <c r="V841" s="574"/>
      <c r="W841" s="574"/>
      <c r="X841" s="572"/>
      <c r="Y841" s="572"/>
      <c r="Z841" s="572"/>
      <c r="AB841" s="573" t="s">
        <v>668</v>
      </c>
    </row>
    <row r="842" spans="1:28" s="575" customFormat="1">
      <c r="A842" s="616"/>
      <c r="B842" s="591" t="s">
        <v>666</v>
      </c>
      <c r="C842" s="591"/>
      <c r="D842" s="617"/>
      <c r="E842" s="618"/>
      <c r="F842" s="619"/>
      <c r="G842" s="620"/>
      <c r="H842" s="621"/>
      <c r="I842" s="621"/>
      <c r="J842" s="623"/>
      <c r="K842" s="586"/>
      <c r="L842" s="586"/>
      <c r="M842" s="571"/>
      <c r="N842" s="588"/>
      <c r="O842" s="588"/>
      <c r="P842" s="589"/>
      <c r="Q842" s="572"/>
      <c r="R842" s="573"/>
      <c r="S842" s="574"/>
      <c r="T842" s="574"/>
      <c r="U842" s="574"/>
      <c r="V842" s="574"/>
      <c r="W842" s="574"/>
      <c r="X842" s="572"/>
      <c r="Y842" s="572"/>
      <c r="Z842" s="572"/>
      <c r="AB842" s="573"/>
    </row>
    <row r="843" spans="1:28" s="575" customFormat="1">
      <c r="A843" s="616"/>
      <c r="B843" s="576" t="s">
        <v>860</v>
      </c>
      <c r="C843" s="591"/>
      <c r="D843" s="617">
        <v>1</v>
      </c>
      <c r="E843" s="618"/>
      <c r="F843" s="619"/>
      <c r="G843" s="620"/>
      <c r="H843" s="621"/>
      <c r="I843" s="621"/>
      <c r="J843" s="623"/>
      <c r="K843" s="586"/>
      <c r="L843" s="586"/>
      <c r="M843" s="571"/>
      <c r="N843" s="588"/>
      <c r="O843" s="588"/>
      <c r="P843" s="589"/>
      <c r="Q843" s="572"/>
      <c r="R843" s="573"/>
      <c r="S843" s="574"/>
      <c r="T843" s="574"/>
      <c r="U843" s="574"/>
      <c r="V843" s="574"/>
      <c r="W843" s="574"/>
      <c r="X843" s="572"/>
      <c r="Y843" s="572"/>
      <c r="Z843" s="572"/>
      <c r="AB843" s="573"/>
    </row>
    <row r="844" spans="1:28" s="575" customFormat="1">
      <c r="A844" s="616"/>
      <c r="B844" s="576" t="s">
        <v>864</v>
      </c>
      <c r="C844" s="591"/>
      <c r="D844" s="617">
        <v>1</v>
      </c>
      <c r="E844" s="618"/>
      <c r="F844" s="619"/>
      <c r="G844" s="620"/>
      <c r="H844" s="621"/>
      <c r="I844" s="621"/>
      <c r="J844" s="623"/>
      <c r="K844" s="586"/>
      <c r="L844" s="586"/>
      <c r="M844" s="571"/>
      <c r="N844" s="588"/>
      <c r="O844" s="588"/>
      <c r="P844" s="589"/>
      <c r="Q844" s="572"/>
      <c r="R844" s="573"/>
      <c r="S844" s="574"/>
      <c r="T844" s="574"/>
      <c r="U844" s="574"/>
      <c r="V844" s="574"/>
      <c r="W844" s="574"/>
      <c r="X844" s="572"/>
      <c r="Y844" s="572"/>
      <c r="Z844" s="572"/>
      <c r="AB844" s="573"/>
    </row>
    <row r="845" spans="1:28" s="575" customFormat="1">
      <c r="A845" s="616"/>
      <c r="B845" s="576" t="s">
        <v>867</v>
      </c>
      <c r="C845" s="591"/>
      <c r="D845" s="617">
        <v>1</v>
      </c>
      <c r="E845" s="618"/>
      <c r="F845" s="619"/>
      <c r="G845" s="620"/>
      <c r="H845" s="621"/>
      <c r="I845" s="621"/>
      <c r="J845" s="623"/>
      <c r="K845" s="586"/>
      <c r="L845" s="586"/>
      <c r="M845" s="571"/>
      <c r="N845" s="588"/>
      <c r="O845" s="588"/>
      <c r="P845" s="589"/>
      <c r="Q845" s="572"/>
      <c r="R845" s="573"/>
      <c r="S845" s="574"/>
      <c r="T845" s="574"/>
      <c r="U845" s="574"/>
      <c r="V845" s="574"/>
      <c r="W845" s="574"/>
      <c r="X845" s="572"/>
      <c r="Y845" s="572"/>
      <c r="Z845" s="572"/>
      <c r="AB845" s="573"/>
    </row>
    <row r="846" spans="1:28" s="575" customFormat="1">
      <c r="A846" s="616"/>
      <c r="B846" s="576" t="s">
        <v>870</v>
      </c>
      <c r="C846" s="591"/>
      <c r="D846" s="617">
        <v>1</v>
      </c>
      <c r="E846" s="618"/>
      <c r="F846" s="619"/>
      <c r="G846" s="620"/>
      <c r="H846" s="621"/>
      <c r="I846" s="621"/>
      <c r="J846" s="623"/>
      <c r="K846" s="586"/>
      <c r="L846" s="586"/>
      <c r="M846" s="571"/>
      <c r="N846" s="588"/>
      <c r="O846" s="588"/>
      <c r="P846" s="589"/>
      <c r="Q846" s="572"/>
      <c r="R846" s="573"/>
      <c r="S846" s="574"/>
      <c r="T846" s="574"/>
      <c r="U846" s="574"/>
      <c r="V846" s="574"/>
      <c r="W846" s="574"/>
      <c r="X846" s="572"/>
      <c r="Y846" s="572"/>
      <c r="Z846" s="572"/>
      <c r="AB846" s="573"/>
    </row>
    <row r="847" spans="1:28" s="478" customFormat="1" ht="32.25" customHeight="1">
      <c r="A847" s="463" t="s">
        <v>1035</v>
      </c>
      <c r="B847" s="464" t="s">
        <v>1036</v>
      </c>
      <c r="C847" s="465" t="s">
        <v>195</v>
      </c>
      <c r="D847" s="466"/>
      <c r="E847" s="467"/>
      <c r="F847" s="468"/>
      <c r="G847" s="469"/>
      <c r="H847" s="470"/>
      <c r="I847" s="470"/>
      <c r="J847" s="472"/>
      <c r="K847" s="473"/>
      <c r="L847" s="473"/>
      <c r="M847" s="474"/>
      <c r="N847" s="479"/>
      <c r="O847" s="479"/>
      <c r="P847" s="480"/>
      <c r="Q847" s="475"/>
      <c r="R847" s="476"/>
      <c r="S847" s="477"/>
      <c r="T847" s="477"/>
      <c r="U847" s="477"/>
      <c r="V847" s="477"/>
      <c r="W847" s="477"/>
      <c r="X847" s="475"/>
      <c r="Y847" s="475"/>
      <c r="Z847" s="475"/>
      <c r="AB847" s="476"/>
    </row>
    <row r="848" spans="1:28" s="575" customFormat="1">
      <c r="A848" s="616"/>
      <c r="B848" s="570" t="s">
        <v>669</v>
      </c>
      <c r="C848" s="591"/>
      <c r="D848" s="617"/>
      <c r="E848" s="618"/>
      <c r="F848" s="619"/>
      <c r="G848" s="620"/>
      <c r="H848" s="621"/>
      <c r="I848" s="622"/>
      <c r="J848" s="623"/>
      <c r="K848" s="586"/>
      <c r="L848" s="586"/>
      <c r="M848" s="571"/>
      <c r="N848" s="577" t="s">
        <v>611</v>
      </c>
      <c r="O848" s="577" t="s">
        <v>611</v>
      </c>
      <c r="P848" s="577" t="s">
        <v>611</v>
      </c>
      <c r="Q848" s="572"/>
      <c r="R848" s="573"/>
      <c r="S848" s="574"/>
      <c r="T848" s="574"/>
      <c r="U848" s="574"/>
      <c r="V848" s="574"/>
      <c r="W848" s="574"/>
      <c r="X848" s="572"/>
      <c r="Y848" s="572"/>
      <c r="Z848" s="572"/>
      <c r="AB848" s="573" t="s">
        <v>668</v>
      </c>
    </row>
    <row r="849" spans="1:28" s="575" customFormat="1">
      <c r="A849" s="616"/>
      <c r="B849" s="591" t="s">
        <v>666</v>
      </c>
      <c r="C849" s="591"/>
      <c r="D849" s="617"/>
      <c r="E849" s="618"/>
      <c r="F849" s="619"/>
      <c r="G849" s="620"/>
      <c r="H849" s="621"/>
      <c r="I849" s="621"/>
      <c r="J849" s="623"/>
      <c r="K849" s="586"/>
      <c r="L849" s="586"/>
      <c r="M849" s="571"/>
      <c r="N849" s="588"/>
      <c r="O849" s="588"/>
      <c r="P849" s="589"/>
      <c r="Q849" s="572"/>
      <c r="R849" s="573"/>
      <c r="S849" s="574"/>
      <c r="T849" s="574"/>
      <c r="U849" s="574"/>
      <c r="V849" s="574"/>
      <c r="W849" s="574"/>
      <c r="X849" s="572"/>
      <c r="Y849" s="572"/>
      <c r="Z849" s="572"/>
      <c r="AB849" s="573"/>
    </row>
    <row r="850" spans="1:28" s="575" customFormat="1">
      <c r="A850" s="616"/>
      <c r="B850" s="576" t="s">
        <v>753</v>
      </c>
      <c r="C850" s="591"/>
      <c r="D850" s="617">
        <v>1</v>
      </c>
      <c r="E850" s="618"/>
      <c r="F850" s="619"/>
      <c r="G850" s="620"/>
      <c r="H850" s="621"/>
      <c r="I850" s="621"/>
      <c r="J850" s="623"/>
      <c r="K850" s="586"/>
      <c r="L850" s="586"/>
      <c r="M850" s="571"/>
      <c r="N850" s="588"/>
      <c r="O850" s="588"/>
      <c r="P850" s="589"/>
      <c r="Q850" s="572"/>
      <c r="R850" s="573"/>
      <c r="S850" s="574"/>
      <c r="T850" s="574"/>
      <c r="U850" s="574"/>
      <c r="V850" s="574"/>
      <c r="W850" s="574"/>
      <c r="X850" s="572"/>
      <c r="Y850" s="572"/>
      <c r="Z850" s="572"/>
      <c r="AB850" s="573"/>
    </row>
    <row r="851" spans="1:28" s="575" customFormat="1">
      <c r="A851" s="616"/>
      <c r="B851" s="576" t="s">
        <v>984</v>
      </c>
      <c r="C851" s="591"/>
      <c r="D851" s="617">
        <v>1</v>
      </c>
      <c r="E851" s="618"/>
      <c r="F851" s="619"/>
      <c r="G851" s="620"/>
      <c r="H851" s="621"/>
      <c r="I851" s="621"/>
      <c r="J851" s="623"/>
      <c r="K851" s="586"/>
      <c r="L851" s="586"/>
      <c r="M851" s="571"/>
      <c r="N851" s="588"/>
      <c r="O851" s="588"/>
      <c r="P851" s="589"/>
      <c r="Q851" s="572"/>
      <c r="R851" s="573"/>
      <c r="S851" s="574"/>
      <c r="T851" s="574"/>
      <c r="U851" s="574"/>
      <c r="V851" s="574"/>
      <c r="W851" s="574"/>
      <c r="X851" s="572"/>
      <c r="Y851" s="572"/>
      <c r="Z851" s="572"/>
      <c r="AB851" s="573"/>
    </row>
    <row r="852" spans="1:28" s="478" customFormat="1" ht="32.25" customHeight="1">
      <c r="A852" s="463" t="s">
        <v>1037</v>
      </c>
      <c r="B852" s="464" t="s">
        <v>1038</v>
      </c>
      <c r="C852" s="465" t="s">
        <v>195</v>
      </c>
      <c r="D852" s="466"/>
      <c r="E852" s="467"/>
      <c r="F852" s="468"/>
      <c r="G852" s="469"/>
      <c r="H852" s="470"/>
      <c r="I852" s="470"/>
      <c r="J852" s="472"/>
      <c r="K852" s="473"/>
      <c r="L852" s="473"/>
      <c r="M852" s="474"/>
      <c r="N852" s="479"/>
      <c r="O852" s="479"/>
      <c r="P852" s="480"/>
      <c r="Q852" s="475"/>
      <c r="R852" s="476"/>
      <c r="S852" s="477"/>
      <c r="T852" s="477"/>
      <c r="U852" s="477"/>
      <c r="V852" s="477"/>
      <c r="W852" s="477"/>
      <c r="X852" s="475"/>
      <c r="Y852" s="475"/>
      <c r="Z852" s="475"/>
      <c r="AB852" s="476"/>
    </row>
    <row r="853" spans="1:28" s="575" customFormat="1">
      <c r="A853" s="616"/>
      <c r="B853" s="570" t="s">
        <v>669</v>
      </c>
      <c r="C853" s="591"/>
      <c r="D853" s="617"/>
      <c r="E853" s="618"/>
      <c r="F853" s="619"/>
      <c r="G853" s="620"/>
      <c r="H853" s="621"/>
      <c r="I853" s="622"/>
      <c r="J853" s="623"/>
      <c r="K853" s="586"/>
      <c r="L853" s="586"/>
      <c r="M853" s="571"/>
      <c r="N853" s="577" t="s">
        <v>611</v>
      </c>
      <c r="O853" s="577" t="s">
        <v>611</v>
      </c>
      <c r="P853" s="577" t="s">
        <v>611</v>
      </c>
      <c r="Q853" s="572"/>
      <c r="R853" s="573"/>
      <c r="S853" s="574"/>
      <c r="T853" s="574"/>
      <c r="U853" s="574"/>
      <c r="V853" s="574"/>
      <c r="W853" s="574"/>
      <c r="X853" s="572"/>
      <c r="Y853" s="572"/>
      <c r="Z853" s="572"/>
      <c r="AB853" s="573" t="s">
        <v>668</v>
      </c>
    </row>
    <row r="854" spans="1:28" s="575" customFormat="1">
      <c r="A854" s="616"/>
      <c r="B854" s="591" t="s">
        <v>666</v>
      </c>
      <c r="C854" s="591"/>
      <c r="D854" s="617"/>
      <c r="E854" s="618"/>
      <c r="F854" s="619"/>
      <c r="G854" s="620"/>
      <c r="H854" s="621"/>
      <c r="I854" s="621"/>
      <c r="J854" s="623"/>
      <c r="K854" s="586"/>
      <c r="L854" s="586"/>
      <c r="M854" s="571"/>
      <c r="N854" s="588"/>
      <c r="O854" s="588"/>
      <c r="P854" s="589"/>
      <c r="Q854" s="572"/>
      <c r="R854" s="573"/>
      <c r="S854" s="574"/>
      <c r="T854" s="574"/>
      <c r="U854" s="574"/>
      <c r="V854" s="574"/>
      <c r="W854" s="574"/>
      <c r="X854" s="572"/>
      <c r="Y854" s="572"/>
      <c r="Z854" s="572"/>
      <c r="AB854" s="573"/>
    </row>
    <row r="855" spans="1:28" s="575" customFormat="1">
      <c r="A855" s="616"/>
      <c r="B855" s="576" t="s">
        <v>985</v>
      </c>
      <c r="C855" s="591"/>
      <c r="D855" s="617">
        <v>2</v>
      </c>
      <c r="E855" s="618"/>
      <c r="F855" s="619"/>
      <c r="G855" s="620"/>
      <c r="H855" s="621"/>
      <c r="I855" s="621"/>
      <c r="J855" s="623"/>
      <c r="K855" s="586"/>
      <c r="L855" s="586"/>
      <c r="M855" s="571"/>
      <c r="N855" s="588"/>
      <c r="O855" s="588"/>
      <c r="P855" s="589"/>
      <c r="Q855" s="572"/>
      <c r="R855" s="573"/>
      <c r="S855" s="574"/>
      <c r="T855" s="574"/>
      <c r="U855" s="574"/>
      <c r="V855" s="574"/>
      <c r="W855" s="574"/>
      <c r="X855" s="572"/>
      <c r="Y855" s="572"/>
      <c r="Z855" s="572"/>
      <c r="AB855" s="573"/>
    </row>
    <row r="856" spans="1:28" s="575" customFormat="1">
      <c r="A856" s="616"/>
      <c r="B856" s="576" t="s">
        <v>986</v>
      </c>
      <c r="C856" s="591"/>
      <c r="D856" s="617">
        <v>3</v>
      </c>
      <c r="E856" s="618"/>
      <c r="F856" s="619"/>
      <c r="G856" s="620"/>
      <c r="H856" s="621"/>
      <c r="I856" s="621"/>
      <c r="J856" s="623"/>
      <c r="K856" s="586"/>
      <c r="L856" s="586"/>
      <c r="M856" s="571"/>
      <c r="N856" s="588"/>
      <c r="O856" s="588"/>
      <c r="P856" s="589"/>
      <c r="Q856" s="572"/>
      <c r="R856" s="573"/>
      <c r="S856" s="574"/>
      <c r="T856" s="574"/>
      <c r="U856" s="574"/>
      <c r="V856" s="574"/>
      <c r="W856" s="574"/>
      <c r="X856" s="572"/>
      <c r="Y856" s="572"/>
      <c r="Z856" s="572"/>
      <c r="AB856" s="573"/>
    </row>
    <row r="857" spans="1:28" s="575" customFormat="1">
      <c r="A857" s="616"/>
      <c r="B857" s="576" t="s">
        <v>852</v>
      </c>
      <c r="C857" s="591"/>
      <c r="D857" s="617">
        <v>1</v>
      </c>
      <c r="E857" s="618"/>
      <c r="F857" s="619"/>
      <c r="G857" s="620"/>
      <c r="H857" s="621"/>
      <c r="I857" s="621"/>
      <c r="J857" s="623"/>
      <c r="K857" s="586"/>
      <c r="L857" s="586"/>
      <c r="M857" s="571"/>
      <c r="N857" s="588"/>
      <c r="O857" s="588"/>
      <c r="P857" s="589"/>
      <c r="Q857" s="572"/>
      <c r="R857" s="573"/>
      <c r="S857" s="574"/>
      <c r="T857" s="574"/>
      <c r="U857" s="574"/>
      <c r="V857" s="574"/>
      <c r="W857" s="574"/>
      <c r="X857" s="572"/>
      <c r="Y857" s="572"/>
      <c r="Z857" s="572"/>
      <c r="AB857" s="573"/>
    </row>
    <row r="858" spans="1:28" s="575" customFormat="1">
      <c r="A858" s="616"/>
      <c r="B858" s="576" t="s">
        <v>853</v>
      </c>
      <c r="C858" s="591"/>
      <c r="D858" s="617">
        <v>1</v>
      </c>
      <c r="E858" s="618"/>
      <c r="F858" s="619"/>
      <c r="G858" s="620"/>
      <c r="H858" s="621"/>
      <c r="I858" s="621"/>
      <c r="J858" s="623"/>
      <c r="K858" s="586"/>
      <c r="L858" s="586"/>
      <c r="M858" s="571"/>
      <c r="N858" s="588"/>
      <c r="O858" s="588"/>
      <c r="P858" s="589"/>
      <c r="Q858" s="572"/>
      <c r="R858" s="573"/>
      <c r="S858" s="574"/>
      <c r="T858" s="574"/>
      <c r="U858" s="574"/>
      <c r="V858" s="574"/>
      <c r="W858" s="574"/>
      <c r="X858" s="572"/>
      <c r="Y858" s="572"/>
      <c r="Z858" s="572"/>
      <c r="AB858" s="573"/>
    </row>
    <row r="859" spans="1:28" s="575" customFormat="1">
      <c r="A859" s="616"/>
      <c r="B859" s="576" t="s">
        <v>856</v>
      </c>
      <c r="C859" s="591"/>
      <c r="D859" s="617">
        <v>1</v>
      </c>
      <c r="E859" s="618"/>
      <c r="F859" s="619"/>
      <c r="G859" s="620"/>
      <c r="H859" s="621"/>
      <c r="I859" s="621"/>
      <c r="J859" s="623"/>
      <c r="K859" s="586"/>
      <c r="L859" s="586"/>
      <c r="M859" s="571"/>
      <c r="N859" s="588"/>
      <c r="O859" s="588"/>
      <c r="P859" s="589"/>
      <c r="Q859" s="572"/>
      <c r="R859" s="573"/>
      <c r="S859" s="574"/>
      <c r="T859" s="574"/>
      <c r="U859" s="574"/>
      <c r="V859" s="574"/>
      <c r="W859" s="574"/>
      <c r="X859" s="572"/>
      <c r="Y859" s="572"/>
      <c r="Z859" s="572"/>
      <c r="AB859" s="573"/>
    </row>
    <row r="860" spans="1:28" s="575" customFormat="1">
      <c r="A860" s="616"/>
      <c r="B860" s="576" t="s">
        <v>857</v>
      </c>
      <c r="C860" s="591"/>
      <c r="D860" s="617">
        <v>1</v>
      </c>
      <c r="E860" s="618"/>
      <c r="F860" s="619"/>
      <c r="G860" s="620"/>
      <c r="H860" s="621"/>
      <c r="I860" s="621"/>
      <c r="J860" s="623"/>
      <c r="K860" s="586"/>
      <c r="L860" s="586"/>
      <c r="M860" s="571"/>
      <c r="N860" s="588"/>
      <c r="O860" s="588"/>
      <c r="P860" s="589"/>
      <c r="Q860" s="572"/>
      <c r="R860" s="573"/>
      <c r="S860" s="574"/>
      <c r="T860" s="574"/>
      <c r="U860" s="574"/>
      <c r="V860" s="574"/>
      <c r="W860" s="574"/>
      <c r="X860" s="572"/>
      <c r="Y860" s="572"/>
      <c r="Z860" s="572"/>
      <c r="AB860" s="573"/>
    </row>
    <row r="861" spans="1:28" s="575" customFormat="1">
      <c r="A861" s="616"/>
      <c r="B861" s="576" t="s">
        <v>860</v>
      </c>
      <c r="C861" s="591"/>
      <c r="D861" s="617">
        <v>1</v>
      </c>
      <c r="E861" s="618"/>
      <c r="F861" s="619"/>
      <c r="G861" s="620"/>
      <c r="H861" s="621"/>
      <c r="I861" s="621"/>
      <c r="J861" s="623"/>
      <c r="K861" s="586"/>
      <c r="L861" s="586"/>
      <c r="M861" s="571"/>
      <c r="N861" s="588"/>
      <c r="O861" s="588"/>
      <c r="P861" s="589"/>
      <c r="Q861" s="572"/>
      <c r="R861" s="573"/>
      <c r="S861" s="574"/>
      <c r="T861" s="574"/>
      <c r="U861" s="574"/>
      <c r="V861" s="574"/>
      <c r="W861" s="574"/>
      <c r="X861" s="572"/>
      <c r="Y861" s="572"/>
      <c r="Z861" s="572"/>
      <c r="AB861" s="573"/>
    </row>
    <row r="862" spans="1:28" s="575" customFormat="1">
      <c r="A862" s="616"/>
      <c r="B862" s="576" t="s">
        <v>864</v>
      </c>
      <c r="C862" s="591"/>
      <c r="D862" s="617">
        <v>1</v>
      </c>
      <c r="E862" s="618"/>
      <c r="F862" s="619"/>
      <c r="G862" s="620"/>
      <c r="H862" s="621"/>
      <c r="I862" s="621"/>
      <c r="J862" s="623"/>
      <c r="K862" s="586"/>
      <c r="L862" s="586"/>
      <c r="M862" s="571"/>
      <c r="N862" s="588"/>
      <c r="O862" s="588"/>
      <c r="P862" s="589"/>
      <c r="Q862" s="572"/>
      <c r="R862" s="573"/>
      <c r="S862" s="574"/>
      <c r="T862" s="574"/>
      <c r="U862" s="574"/>
      <c r="V862" s="574"/>
      <c r="W862" s="574"/>
      <c r="X862" s="572"/>
      <c r="Y862" s="572"/>
      <c r="Z862" s="572"/>
      <c r="AB862" s="573"/>
    </row>
    <row r="863" spans="1:28" s="575" customFormat="1">
      <c r="A863" s="616"/>
      <c r="B863" s="576" t="s">
        <v>867</v>
      </c>
      <c r="C863" s="591"/>
      <c r="D863" s="617">
        <v>1</v>
      </c>
      <c r="E863" s="618"/>
      <c r="F863" s="619"/>
      <c r="G863" s="620"/>
      <c r="H863" s="621"/>
      <c r="I863" s="621"/>
      <c r="J863" s="623"/>
      <c r="K863" s="586"/>
      <c r="L863" s="586"/>
      <c r="M863" s="571"/>
      <c r="N863" s="588"/>
      <c r="O863" s="588"/>
      <c r="P863" s="589"/>
      <c r="Q863" s="572"/>
      <c r="R863" s="573"/>
      <c r="S863" s="574"/>
      <c r="T863" s="574"/>
      <c r="U863" s="574"/>
      <c r="V863" s="574"/>
      <c r="W863" s="574"/>
      <c r="X863" s="572"/>
      <c r="Y863" s="572"/>
      <c r="Z863" s="572"/>
      <c r="AB863" s="573"/>
    </row>
    <row r="864" spans="1:28" s="575" customFormat="1">
      <c r="A864" s="616"/>
      <c r="B864" s="576" t="s">
        <v>870</v>
      </c>
      <c r="C864" s="591"/>
      <c r="D864" s="617">
        <v>1</v>
      </c>
      <c r="E864" s="618"/>
      <c r="F864" s="619"/>
      <c r="G864" s="620"/>
      <c r="H864" s="621"/>
      <c r="I864" s="621"/>
      <c r="J864" s="623"/>
      <c r="K864" s="586"/>
      <c r="L864" s="586"/>
      <c r="M864" s="571"/>
      <c r="N864" s="588"/>
      <c r="O864" s="588"/>
      <c r="P864" s="589"/>
      <c r="Q864" s="572"/>
      <c r="R864" s="573"/>
      <c r="S864" s="574"/>
      <c r="T864" s="574"/>
      <c r="U864" s="574"/>
      <c r="V864" s="574"/>
      <c r="W864" s="574"/>
      <c r="X864" s="572"/>
      <c r="Y864" s="572"/>
      <c r="Z864" s="572"/>
      <c r="AB864" s="573"/>
    </row>
    <row r="865" spans="1:28" s="478" customFormat="1" ht="35.25" customHeight="1">
      <c r="A865" s="463" t="s">
        <v>1039</v>
      </c>
      <c r="B865" s="464" t="s">
        <v>1040</v>
      </c>
      <c r="C865" s="465" t="s">
        <v>195</v>
      </c>
      <c r="D865" s="466"/>
      <c r="E865" s="467"/>
      <c r="F865" s="468"/>
      <c r="G865" s="469"/>
      <c r="H865" s="470"/>
      <c r="I865" s="470"/>
      <c r="J865" s="472"/>
      <c r="K865" s="473"/>
      <c r="L865" s="473"/>
      <c r="M865" s="474"/>
      <c r="N865" s="479"/>
      <c r="O865" s="479"/>
      <c r="P865" s="480"/>
      <c r="Q865" s="475"/>
      <c r="R865" s="476"/>
      <c r="S865" s="477"/>
      <c r="T865" s="477"/>
      <c r="U865" s="477"/>
      <c r="V865" s="477"/>
      <c r="W865" s="477"/>
      <c r="X865" s="475"/>
      <c r="Y865" s="475"/>
      <c r="Z865" s="475"/>
      <c r="AB865" s="476"/>
    </row>
    <row r="866" spans="1:28" s="575" customFormat="1">
      <c r="A866" s="616"/>
      <c r="B866" s="570" t="s">
        <v>1015</v>
      </c>
      <c r="C866" s="591"/>
      <c r="D866" s="617"/>
      <c r="E866" s="618"/>
      <c r="F866" s="619"/>
      <c r="G866" s="620"/>
      <c r="H866" s="621"/>
      <c r="I866" s="622"/>
      <c r="J866" s="623"/>
      <c r="K866" s="586"/>
      <c r="L866" s="586"/>
      <c r="M866" s="571"/>
      <c r="N866" s="577" t="s">
        <v>611</v>
      </c>
      <c r="O866" s="577" t="s">
        <v>611</v>
      </c>
      <c r="P866" s="577" t="s">
        <v>611</v>
      </c>
      <c r="Q866" s="572"/>
      <c r="R866" s="573"/>
      <c r="S866" s="574"/>
      <c r="T866" s="574"/>
      <c r="U866" s="574"/>
      <c r="V866" s="574"/>
      <c r="W866" s="574"/>
      <c r="X866" s="572"/>
      <c r="Y866" s="572"/>
      <c r="Z866" s="572"/>
      <c r="AB866" s="573" t="s">
        <v>668</v>
      </c>
    </row>
    <row r="867" spans="1:28" s="575" customFormat="1">
      <c r="A867" s="616"/>
      <c r="B867" s="570" t="s">
        <v>669</v>
      </c>
      <c r="C867" s="591"/>
      <c r="D867" s="617"/>
      <c r="E867" s="618"/>
      <c r="F867" s="619"/>
      <c r="G867" s="620"/>
      <c r="H867" s="621"/>
      <c r="I867" s="622"/>
      <c r="J867" s="623"/>
      <c r="K867" s="586"/>
      <c r="L867" s="586"/>
      <c r="M867" s="571"/>
      <c r="N867" s="577" t="s">
        <v>611</v>
      </c>
      <c r="O867" s="577" t="s">
        <v>611</v>
      </c>
      <c r="P867" s="577" t="s">
        <v>611</v>
      </c>
      <c r="Q867" s="572"/>
      <c r="R867" s="573"/>
      <c r="S867" s="574"/>
      <c r="T867" s="574"/>
      <c r="U867" s="574"/>
      <c r="V867" s="574"/>
      <c r="W867" s="574"/>
      <c r="X867" s="572"/>
      <c r="Y867" s="572"/>
      <c r="Z867" s="572"/>
      <c r="AB867" s="573" t="s">
        <v>668</v>
      </c>
    </row>
    <row r="868" spans="1:28" s="575" customFormat="1">
      <c r="A868" s="616"/>
      <c r="B868" s="591" t="s">
        <v>666</v>
      </c>
      <c r="C868" s="591"/>
      <c r="D868" s="617"/>
      <c r="E868" s="618"/>
      <c r="F868" s="619"/>
      <c r="G868" s="620"/>
      <c r="H868" s="621"/>
      <c r="I868" s="621"/>
      <c r="J868" s="623"/>
      <c r="K868" s="586"/>
      <c r="L868" s="586"/>
      <c r="M868" s="571"/>
      <c r="N868" s="588"/>
      <c r="O868" s="588"/>
      <c r="P868" s="589"/>
      <c r="Q868" s="572"/>
      <c r="R868" s="573"/>
      <c r="S868" s="574"/>
      <c r="T868" s="574"/>
      <c r="U868" s="574"/>
      <c r="V868" s="574"/>
      <c r="W868" s="574"/>
      <c r="X868" s="572"/>
      <c r="Y868" s="572"/>
      <c r="Z868" s="572"/>
      <c r="AB868" s="573"/>
    </row>
    <row r="869" spans="1:28" s="575" customFormat="1">
      <c r="A869" s="616"/>
      <c r="B869" s="576" t="s">
        <v>753</v>
      </c>
      <c r="C869" s="591"/>
      <c r="D869" s="617">
        <v>3</v>
      </c>
      <c r="E869" s="618"/>
      <c r="F869" s="619"/>
      <c r="G869" s="620"/>
      <c r="H869" s="621"/>
      <c r="I869" s="621"/>
      <c r="J869" s="623"/>
      <c r="K869" s="586"/>
      <c r="L869" s="586"/>
      <c r="M869" s="571"/>
      <c r="N869" s="588"/>
      <c r="O869" s="588"/>
      <c r="P869" s="589"/>
      <c r="Q869" s="572"/>
      <c r="R869" s="573"/>
      <c r="S869" s="574"/>
      <c r="T869" s="574"/>
      <c r="U869" s="574"/>
      <c r="V869" s="574"/>
      <c r="W869" s="574"/>
      <c r="X869" s="572"/>
      <c r="Y869" s="572"/>
      <c r="Z869" s="572"/>
      <c r="AB869" s="573"/>
    </row>
    <row r="870" spans="1:28" s="575" customFormat="1">
      <c r="A870" s="616"/>
      <c r="B870" s="576" t="s">
        <v>984</v>
      </c>
      <c r="C870" s="591"/>
      <c r="D870" s="617">
        <v>2</v>
      </c>
      <c r="E870" s="618"/>
      <c r="F870" s="619"/>
      <c r="G870" s="620"/>
      <c r="H870" s="621"/>
      <c r="I870" s="621"/>
      <c r="J870" s="623"/>
      <c r="K870" s="586"/>
      <c r="L870" s="586"/>
      <c r="M870" s="571"/>
      <c r="N870" s="588"/>
      <c r="O870" s="588"/>
      <c r="P870" s="589"/>
      <c r="Q870" s="572"/>
      <c r="R870" s="573"/>
      <c r="S870" s="574"/>
      <c r="T870" s="574"/>
      <c r="U870" s="574"/>
      <c r="V870" s="574"/>
      <c r="W870" s="574"/>
      <c r="X870" s="572"/>
      <c r="Y870" s="572"/>
      <c r="Z870" s="572"/>
      <c r="AB870" s="573"/>
    </row>
    <row r="871" spans="1:28" s="575" customFormat="1">
      <c r="A871" s="616"/>
      <c r="B871" s="576" t="s">
        <v>985</v>
      </c>
      <c r="C871" s="591"/>
      <c r="D871" s="617">
        <v>3</v>
      </c>
      <c r="E871" s="618"/>
      <c r="F871" s="619"/>
      <c r="G871" s="620"/>
      <c r="H871" s="621"/>
      <c r="I871" s="621"/>
      <c r="J871" s="623"/>
      <c r="K871" s="586"/>
      <c r="L871" s="586"/>
      <c r="M871" s="571"/>
      <c r="N871" s="588"/>
      <c r="O871" s="588"/>
      <c r="P871" s="589"/>
      <c r="Q871" s="572"/>
      <c r="R871" s="573"/>
      <c r="S871" s="574"/>
      <c r="T871" s="574"/>
      <c r="U871" s="574"/>
      <c r="V871" s="574"/>
      <c r="W871" s="574"/>
      <c r="X871" s="572"/>
      <c r="Y871" s="572"/>
      <c r="Z871" s="572"/>
      <c r="AB871" s="573"/>
    </row>
    <row r="872" spans="1:28" s="575" customFormat="1">
      <c r="A872" s="616"/>
      <c r="B872" s="576" t="s">
        <v>986</v>
      </c>
      <c r="C872" s="591"/>
      <c r="D872" s="617">
        <v>4</v>
      </c>
      <c r="E872" s="618"/>
      <c r="F872" s="619"/>
      <c r="G872" s="620"/>
      <c r="H872" s="621"/>
      <c r="I872" s="621"/>
      <c r="J872" s="623"/>
      <c r="K872" s="586"/>
      <c r="L872" s="586"/>
      <c r="M872" s="571"/>
      <c r="N872" s="588"/>
      <c r="O872" s="588"/>
      <c r="P872" s="589"/>
      <c r="Q872" s="572"/>
      <c r="R872" s="573"/>
      <c r="S872" s="574"/>
      <c r="T872" s="574"/>
      <c r="U872" s="574"/>
      <c r="V872" s="574"/>
      <c r="W872" s="574"/>
      <c r="X872" s="572"/>
      <c r="Y872" s="572"/>
      <c r="Z872" s="572"/>
      <c r="AB872" s="573"/>
    </row>
    <row r="873" spans="1:28" s="575" customFormat="1">
      <c r="A873" s="616"/>
      <c r="B873" s="576" t="s">
        <v>987</v>
      </c>
      <c r="C873" s="591"/>
      <c r="D873" s="617">
        <v>1</v>
      </c>
      <c r="E873" s="618"/>
      <c r="F873" s="619"/>
      <c r="G873" s="620"/>
      <c r="H873" s="621"/>
      <c r="I873" s="621"/>
      <c r="J873" s="623"/>
      <c r="K873" s="586"/>
      <c r="L873" s="586"/>
      <c r="M873" s="571"/>
      <c r="N873" s="588"/>
      <c r="O873" s="588"/>
      <c r="P873" s="589"/>
      <c r="Q873" s="572"/>
      <c r="R873" s="573"/>
      <c r="S873" s="574"/>
      <c r="T873" s="574"/>
      <c r="U873" s="574"/>
      <c r="V873" s="574"/>
      <c r="W873" s="574"/>
      <c r="X873" s="572"/>
      <c r="Y873" s="572"/>
      <c r="Z873" s="572"/>
      <c r="AB873" s="573"/>
    </row>
    <row r="874" spans="1:28" s="575" customFormat="1">
      <c r="A874" s="616"/>
      <c r="B874" s="576" t="s">
        <v>988</v>
      </c>
      <c r="C874" s="591"/>
      <c r="D874" s="617">
        <v>1</v>
      </c>
      <c r="E874" s="618"/>
      <c r="F874" s="619"/>
      <c r="G874" s="620"/>
      <c r="H874" s="621"/>
      <c r="I874" s="621"/>
      <c r="J874" s="623"/>
      <c r="K874" s="586"/>
      <c r="L874" s="586"/>
      <c r="M874" s="571"/>
      <c r="N874" s="588"/>
      <c r="O874" s="588"/>
      <c r="P874" s="589"/>
      <c r="Q874" s="572"/>
      <c r="R874" s="573"/>
      <c r="S874" s="574"/>
      <c r="T874" s="574"/>
      <c r="U874" s="574"/>
      <c r="V874" s="574"/>
      <c r="W874" s="574"/>
      <c r="X874" s="572"/>
      <c r="Y874" s="572"/>
      <c r="Z874" s="572"/>
      <c r="AB874" s="573"/>
    </row>
    <row r="875" spans="1:28" s="575" customFormat="1">
      <c r="A875" s="616"/>
      <c r="B875" s="576" t="s">
        <v>856</v>
      </c>
      <c r="C875" s="591"/>
      <c r="D875" s="617">
        <v>1</v>
      </c>
      <c r="E875" s="618"/>
      <c r="F875" s="619"/>
      <c r="G875" s="620"/>
      <c r="H875" s="621"/>
      <c r="I875" s="621"/>
      <c r="J875" s="623"/>
      <c r="K875" s="586"/>
      <c r="L875" s="586"/>
      <c r="M875" s="571"/>
      <c r="N875" s="588"/>
      <c r="O875" s="588"/>
      <c r="P875" s="589"/>
      <c r="Q875" s="572"/>
      <c r="R875" s="573"/>
      <c r="S875" s="574"/>
      <c r="T875" s="574"/>
      <c r="U875" s="574"/>
      <c r="V875" s="574"/>
      <c r="W875" s="574"/>
      <c r="X875" s="572"/>
      <c r="Y875" s="572"/>
      <c r="Z875" s="572"/>
      <c r="AB875" s="573"/>
    </row>
    <row r="876" spans="1:28" s="575" customFormat="1">
      <c r="A876" s="616"/>
      <c r="B876" s="576" t="s">
        <v>857</v>
      </c>
      <c r="C876" s="591"/>
      <c r="D876" s="617">
        <v>1</v>
      </c>
      <c r="E876" s="618"/>
      <c r="F876" s="619"/>
      <c r="G876" s="620"/>
      <c r="H876" s="621"/>
      <c r="I876" s="621"/>
      <c r="J876" s="623"/>
      <c r="K876" s="586"/>
      <c r="L876" s="586"/>
      <c r="M876" s="571"/>
      <c r="N876" s="588"/>
      <c r="O876" s="588"/>
      <c r="P876" s="589"/>
      <c r="Q876" s="572"/>
      <c r="R876" s="573"/>
      <c r="S876" s="574"/>
      <c r="T876" s="574"/>
      <c r="U876" s="574"/>
      <c r="V876" s="574"/>
      <c r="W876" s="574"/>
      <c r="X876" s="572"/>
      <c r="Y876" s="572"/>
      <c r="Z876" s="572"/>
      <c r="AB876" s="573"/>
    </row>
    <row r="877" spans="1:28" s="575" customFormat="1">
      <c r="A877" s="616"/>
      <c r="B877" s="576" t="s">
        <v>860</v>
      </c>
      <c r="C877" s="591"/>
      <c r="D877" s="617">
        <v>1</v>
      </c>
      <c r="E877" s="618"/>
      <c r="F877" s="619"/>
      <c r="G877" s="620"/>
      <c r="H877" s="621"/>
      <c r="I877" s="621"/>
      <c r="J877" s="623"/>
      <c r="K877" s="586"/>
      <c r="L877" s="586"/>
      <c r="M877" s="571"/>
      <c r="N877" s="588"/>
      <c r="O877" s="588"/>
      <c r="P877" s="589"/>
      <c r="Q877" s="572"/>
      <c r="R877" s="573"/>
      <c r="S877" s="574"/>
      <c r="T877" s="574"/>
      <c r="U877" s="574"/>
      <c r="V877" s="574"/>
      <c r="W877" s="574"/>
      <c r="X877" s="572"/>
      <c r="Y877" s="572"/>
      <c r="Z877" s="572"/>
      <c r="AB877" s="573"/>
    </row>
    <row r="878" spans="1:28" s="575" customFormat="1">
      <c r="A878" s="616"/>
      <c r="B878" s="576" t="s">
        <v>864</v>
      </c>
      <c r="C878" s="591"/>
      <c r="D878" s="617">
        <v>1</v>
      </c>
      <c r="E878" s="618"/>
      <c r="F878" s="619"/>
      <c r="G878" s="620"/>
      <c r="H878" s="621"/>
      <c r="I878" s="621"/>
      <c r="J878" s="623"/>
      <c r="K878" s="586"/>
      <c r="L878" s="586"/>
      <c r="M878" s="571"/>
      <c r="N878" s="588"/>
      <c r="O878" s="588"/>
      <c r="P878" s="589"/>
      <c r="Q878" s="572"/>
      <c r="R878" s="573"/>
      <c r="S878" s="574"/>
      <c r="T878" s="574"/>
      <c r="U878" s="574"/>
      <c r="V878" s="574"/>
      <c r="W878" s="574"/>
      <c r="X878" s="572"/>
      <c r="Y878" s="572"/>
      <c r="Z878" s="572"/>
      <c r="AB878" s="573"/>
    </row>
    <row r="879" spans="1:28" s="575" customFormat="1">
      <c r="A879" s="616"/>
      <c r="B879" s="576" t="s">
        <v>867</v>
      </c>
      <c r="C879" s="591"/>
      <c r="D879" s="617">
        <v>1</v>
      </c>
      <c r="E879" s="618"/>
      <c r="F879" s="619"/>
      <c r="G879" s="620"/>
      <c r="H879" s="621"/>
      <c r="I879" s="621"/>
      <c r="J879" s="623"/>
      <c r="K879" s="586"/>
      <c r="L879" s="586"/>
      <c r="M879" s="571"/>
      <c r="N879" s="588"/>
      <c r="O879" s="588"/>
      <c r="P879" s="589"/>
      <c r="Q879" s="572"/>
      <c r="R879" s="573"/>
      <c r="S879" s="574"/>
      <c r="T879" s="574"/>
      <c r="U879" s="574"/>
      <c r="V879" s="574"/>
      <c r="W879" s="574"/>
      <c r="X879" s="572"/>
      <c r="Y879" s="572"/>
      <c r="Z879" s="572"/>
      <c r="AB879" s="573"/>
    </row>
    <row r="880" spans="1:28" s="575" customFormat="1">
      <c r="A880" s="616"/>
      <c r="B880" s="576" t="s">
        <v>870</v>
      </c>
      <c r="C880" s="591"/>
      <c r="D880" s="617">
        <v>1</v>
      </c>
      <c r="E880" s="618"/>
      <c r="F880" s="619"/>
      <c r="G880" s="620"/>
      <c r="H880" s="621"/>
      <c r="I880" s="621"/>
      <c r="J880" s="623"/>
      <c r="K880" s="586"/>
      <c r="L880" s="586"/>
      <c r="M880" s="571"/>
      <c r="N880" s="588"/>
      <c r="O880" s="588"/>
      <c r="P880" s="589"/>
      <c r="Q880" s="572"/>
      <c r="R880" s="573"/>
      <c r="S880" s="574"/>
      <c r="T880" s="574"/>
      <c r="U880" s="574"/>
      <c r="V880" s="574"/>
      <c r="W880" s="574"/>
      <c r="X880" s="572"/>
      <c r="Y880" s="572"/>
      <c r="Z880" s="572"/>
      <c r="AB880" s="573"/>
    </row>
    <row r="881" spans="1:28" s="575" customFormat="1">
      <c r="A881" s="616"/>
      <c r="B881" s="570" t="s">
        <v>993</v>
      </c>
      <c r="C881" s="591"/>
      <c r="D881" s="617"/>
      <c r="E881" s="618"/>
      <c r="F881" s="619"/>
      <c r="G881" s="620"/>
      <c r="H881" s="621"/>
      <c r="I881" s="622"/>
      <c r="J881" s="623"/>
      <c r="K881" s="586"/>
      <c r="L881" s="586"/>
      <c r="M881" s="571"/>
      <c r="N881" s="577" t="s">
        <v>611</v>
      </c>
      <c r="O881" s="577" t="s">
        <v>611</v>
      </c>
      <c r="P881" s="577" t="s">
        <v>611</v>
      </c>
      <c r="Q881" s="572"/>
      <c r="R881" s="573"/>
      <c r="S881" s="574"/>
      <c r="T881" s="574"/>
      <c r="U881" s="574"/>
      <c r="V881" s="574"/>
      <c r="W881" s="574"/>
      <c r="X881" s="572"/>
      <c r="Y881" s="572"/>
      <c r="Z881" s="572"/>
      <c r="AB881" s="573" t="s">
        <v>668</v>
      </c>
    </row>
    <row r="882" spans="1:28" s="575" customFormat="1">
      <c r="A882" s="616"/>
      <c r="B882" s="570" t="s">
        <v>669</v>
      </c>
      <c r="C882" s="591"/>
      <c r="D882" s="617"/>
      <c r="E882" s="618"/>
      <c r="F882" s="619"/>
      <c r="G882" s="620"/>
      <c r="H882" s="621"/>
      <c r="I882" s="622"/>
      <c r="J882" s="623"/>
      <c r="K882" s="586"/>
      <c r="L882" s="586"/>
      <c r="M882" s="571"/>
      <c r="N882" s="577" t="s">
        <v>611</v>
      </c>
      <c r="O882" s="577" t="s">
        <v>611</v>
      </c>
      <c r="P882" s="577" t="s">
        <v>611</v>
      </c>
      <c r="Q882" s="572"/>
      <c r="R882" s="573"/>
      <c r="S882" s="574"/>
      <c r="T882" s="574"/>
      <c r="U882" s="574"/>
      <c r="V882" s="574"/>
      <c r="W882" s="574"/>
      <c r="X882" s="572"/>
      <c r="Y882" s="572"/>
      <c r="Z882" s="572"/>
      <c r="AB882" s="573" t="s">
        <v>668</v>
      </c>
    </row>
    <row r="883" spans="1:28" s="575" customFormat="1">
      <c r="A883" s="616"/>
      <c r="B883" s="591" t="s">
        <v>666</v>
      </c>
      <c r="C883" s="591"/>
      <c r="D883" s="617"/>
      <c r="E883" s="618"/>
      <c r="F883" s="619"/>
      <c r="G883" s="620"/>
      <c r="H883" s="621"/>
      <c r="I883" s="621"/>
      <c r="J883" s="623"/>
      <c r="K883" s="586"/>
      <c r="L883" s="586"/>
      <c r="M883" s="571"/>
      <c r="N883" s="588"/>
      <c r="O883" s="588"/>
      <c r="P883" s="589"/>
      <c r="Q883" s="572"/>
      <c r="R883" s="573"/>
      <c r="S883" s="574"/>
      <c r="T883" s="574"/>
      <c r="U883" s="574"/>
      <c r="V883" s="574"/>
      <c r="W883" s="574"/>
      <c r="X883" s="572"/>
      <c r="Y883" s="572"/>
      <c r="Z883" s="572"/>
      <c r="AB883" s="573"/>
    </row>
    <row r="884" spans="1:28" s="575" customFormat="1">
      <c r="A884" s="616"/>
      <c r="B884" s="576" t="s">
        <v>753</v>
      </c>
      <c r="C884" s="591"/>
      <c r="D884" s="617">
        <v>1</v>
      </c>
      <c r="E884" s="618"/>
      <c r="F884" s="619"/>
      <c r="G884" s="620"/>
      <c r="H884" s="621"/>
      <c r="I884" s="621"/>
      <c r="J884" s="623"/>
      <c r="K884" s="586"/>
      <c r="L884" s="586"/>
      <c r="M884" s="571"/>
      <c r="N884" s="588"/>
      <c r="O884" s="588"/>
      <c r="P884" s="589"/>
      <c r="Q884" s="572"/>
      <c r="R884" s="573"/>
      <c r="S884" s="574"/>
      <c r="T884" s="574"/>
      <c r="U884" s="574"/>
      <c r="V884" s="574"/>
      <c r="W884" s="574"/>
      <c r="X884" s="572"/>
      <c r="Y884" s="572"/>
      <c r="Z884" s="572"/>
      <c r="AB884" s="573"/>
    </row>
    <row r="885" spans="1:28" s="575" customFormat="1">
      <c r="A885" s="616"/>
      <c r="B885" s="576" t="s">
        <v>984</v>
      </c>
      <c r="C885" s="591"/>
      <c r="D885" s="617">
        <v>1</v>
      </c>
      <c r="E885" s="618"/>
      <c r="F885" s="619"/>
      <c r="G885" s="620"/>
      <c r="H885" s="621"/>
      <c r="I885" s="621"/>
      <c r="J885" s="623"/>
      <c r="K885" s="586"/>
      <c r="L885" s="586"/>
      <c r="M885" s="571"/>
      <c r="N885" s="588"/>
      <c r="O885" s="588"/>
      <c r="P885" s="589"/>
      <c r="Q885" s="572"/>
      <c r="R885" s="573"/>
      <c r="S885" s="574"/>
      <c r="T885" s="574"/>
      <c r="U885" s="574"/>
      <c r="V885" s="574"/>
      <c r="W885" s="574"/>
      <c r="X885" s="572"/>
      <c r="Y885" s="572"/>
      <c r="Z885" s="572"/>
      <c r="AB885" s="573"/>
    </row>
    <row r="886" spans="1:28" s="575" customFormat="1">
      <c r="A886" s="616"/>
      <c r="B886" s="576"/>
      <c r="C886" s="591"/>
      <c r="D886" s="617"/>
      <c r="E886" s="618"/>
      <c r="F886" s="619"/>
      <c r="G886" s="620"/>
      <c r="H886" s="621"/>
      <c r="I886" s="621"/>
      <c r="J886" s="623"/>
      <c r="K886" s="586"/>
      <c r="L886" s="586"/>
      <c r="M886" s="571"/>
      <c r="N886" s="588"/>
      <c r="O886" s="588"/>
      <c r="P886" s="589"/>
      <c r="Q886" s="572"/>
      <c r="R886" s="573"/>
      <c r="S886" s="574"/>
      <c r="T886" s="574"/>
      <c r="U886" s="574"/>
      <c r="V886" s="574"/>
      <c r="W886" s="574"/>
      <c r="X886" s="572"/>
      <c r="Y886" s="572"/>
      <c r="Z886" s="572"/>
      <c r="AB886" s="573"/>
    </row>
    <row r="887" spans="1:28" s="575" customFormat="1">
      <c r="A887" s="616"/>
      <c r="B887" s="576"/>
      <c r="C887" s="591"/>
      <c r="D887" s="617"/>
      <c r="E887" s="618"/>
      <c r="F887" s="619"/>
      <c r="G887" s="620"/>
      <c r="H887" s="621"/>
      <c r="I887" s="621"/>
      <c r="J887" s="623"/>
      <c r="K887" s="586"/>
      <c r="L887" s="586"/>
      <c r="M887" s="571"/>
      <c r="N887" s="588"/>
      <c r="O887" s="588"/>
      <c r="P887" s="589"/>
      <c r="Q887" s="572"/>
      <c r="R887" s="573"/>
      <c r="S887" s="574"/>
      <c r="T887" s="574"/>
      <c r="U887" s="574"/>
      <c r="V887" s="574"/>
      <c r="W887" s="574"/>
      <c r="X887" s="572"/>
      <c r="Y887" s="572"/>
      <c r="Z887" s="572"/>
      <c r="AB887" s="573"/>
    </row>
    <row r="888" spans="1:28" s="478" customFormat="1" ht="29.25" customHeight="1">
      <c r="A888" s="463" t="s">
        <v>1041</v>
      </c>
      <c r="B888" s="464" t="s">
        <v>1042</v>
      </c>
      <c r="C888" s="465" t="s">
        <v>195</v>
      </c>
      <c r="D888" s="466"/>
      <c r="E888" s="467"/>
      <c r="F888" s="468"/>
      <c r="G888" s="469"/>
      <c r="H888" s="470"/>
      <c r="I888" s="470"/>
      <c r="J888" s="472"/>
      <c r="K888" s="473"/>
      <c r="L888" s="473"/>
      <c r="M888" s="474"/>
      <c r="N888" s="479"/>
      <c r="O888" s="479"/>
      <c r="P888" s="480"/>
      <c r="Q888" s="475"/>
      <c r="R888" s="476"/>
      <c r="S888" s="477"/>
      <c r="T888" s="477"/>
      <c r="U888" s="477"/>
      <c r="V888" s="477"/>
      <c r="W888" s="477"/>
      <c r="X888" s="475"/>
      <c r="Y888" s="475"/>
      <c r="Z888" s="475"/>
      <c r="AB888" s="476"/>
    </row>
    <row r="889" spans="1:28" s="575" customFormat="1">
      <c r="A889" s="616"/>
      <c r="B889" s="570" t="s">
        <v>669</v>
      </c>
      <c r="C889" s="591"/>
      <c r="D889" s="617"/>
      <c r="E889" s="618"/>
      <c r="F889" s="619"/>
      <c r="G889" s="620"/>
      <c r="H889" s="621"/>
      <c r="I889" s="622"/>
      <c r="J889" s="623"/>
      <c r="K889" s="586"/>
      <c r="L889" s="586"/>
      <c r="M889" s="571"/>
      <c r="N889" s="577" t="s">
        <v>611</v>
      </c>
      <c r="O889" s="577" t="s">
        <v>611</v>
      </c>
      <c r="P889" s="577" t="s">
        <v>611</v>
      </c>
      <c r="Q889" s="572"/>
      <c r="R889" s="573"/>
      <c r="S889" s="574"/>
      <c r="T889" s="574"/>
      <c r="U889" s="574"/>
      <c r="V889" s="574"/>
      <c r="W889" s="574"/>
      <c r="X889" s="572"/>
      <c r="Y889" s="572"/>
      <c r="Z889" s="572"/>
      <c r="AB889" s="573" t="s">
        <v>668</v>
      </c>
    </row>
    <row r="890" spans="1:28" s="575" customFormat="1">
      <c r="A890" s="616"/>
      <c r="B890" s="591" t="s">
        <v>666</v>
      </c>
      <c r="C890" s="591"/>
      <c r="D890" s="617"/>
      <c r="E890" s="618"/>
      <c r="F890" s="619"/>
      <c r="G890" s="620"/>
      <c r="H890" s="621"/>
      <c r="I890" s="621"/>
      <c r="J890" s="623"/>
      <c r="K890" s="586"/>
      <c r="L890" s="586"/>
      <c r="M890" s="571"/>
      <c r="N890" s="588"/>
      <c r="O890" s="588"/>
      <c r="P890" s="589"/>
      <c r="Q890" s="572"/>
      <c r="R890" s="573"/>
      <c r="S890" s="574"/>
      <c r="T890" s="574"/>
      <c r="U890" s="574"/>
      <c r="V890" s="574"/>
      <c r="W890" s="574"/>
      <c r="X890" s="572"/>
      <c r="Y890" s="572"/>
      <c r="Z890" s="572"/>
      <c r="AB890" s="573"/>
    </row>
    <row r="891" spans="1:28" s="575" customFormat="1">
      <c r="A891" s="616"/>
      <c r="B891" s="576" t="s">
        <v>753</v>
      </c>
      <c r="C891" s="591"/>
      <c r="D891" s="617">
        <v>1</v>
      </c>
      <c r="E891" s="618"/>
      <c r="F891" s="619"/>
      <c r="G891" s="620"/>
      <c r="H891" s="621"/>
      <c r="I891" s="621"/>
      <c r="J891" s="623"/>
      <c r="K891" s="586"/>
      <c r="L891" s="586"/>
      <c r="M891" s="571"/>
      <c r="N891" s="588"/>
      <c r="O891" s="588"/>
      <c r="P891" s="589"/>
      <c r="Q891" s="572"/>
      <c r="R891" s="573"/>
      <c r="S891" s="574"/>
      <c r="T891" s="574"/>
      <c r="U891" s="574"/>
      <c r="V891" s="574"/>
      <c r="W891" s="574"/>
      <c r="X891" s="572"/>
      <c r="Y891" s="572"/>
      <c r="Z891" s="572"/>
      <c r="AB891" s="573"/>
    </row>
    <row r="892" spans="1:28" s="575" customFormat="1">
      <c r="A892" s="616"/>
      <c r="B892" s="576" t="s">
        <v>984</v>
      </c>
      <c r="C892" s="591"/>
      <c r="D892" s="617">
        <v>1</v>
      </c>
      <c r="E892" s="618"/>
      <c r="F892" s="619"/>
      <c r="G892" s="620"/>
      <c r="H892" s="621"/>
      <c r="I892" s="621"/>
      <c r="J892" s="623"/>
      <c r="K892" s="586"/>
      <c r="L892" s="586"/>
      <c r="M892" s="571"/>
      <c r="N892" s="588"/>
      <c r="O892" s="588"/>
      <c r="P892" s="589"/>
      <c r="Q892" s="572"/>
      <c r="R892" s="573"/>
      <c r="S892" s="574"/>
      <c r="T892" s="574"/>
      <c r="U892" s="574"/>
      <c r="V892" s="574"/>
      <c r="W892" s="574"/>
      <c r="X892" s="572"/>
      <c r="Y892" s="572"/>
      <c r="Z892" s="572"/>
      <c r="AB892" s="573"/>
    </row>
    <row r="893" spans="1:28" s="575" customFormat="1">
      <c r="A893" s="616"/>
      <c r="B893" s="576" t="s">
        <v>985</v>
      </c>
      <c r="C893" s="591"/>
      <c r="D893" s="617">
        <v>3</v>
      </c>
      <c r="E893" s="618"/>
      <c r="F893" s="619"/>
      <c r="G893" s="620"/>
      <c r="H893" s="621"/>
      <c r="I893" s="621"/>
      <c r="J893" s="623"/>
      <c r="K893" s="586"/>
      <c r="L893" s="586"/>
      <c r="M893" s="571"/>
      <c r="N893" s="588"/>
      <c r="O893" s="588"/>
      <c r="P893" s="589"/>
      <c r="Q893" s="572"/>
      <c r="R893" s="573"/>
      <c r="S893" s="574"/>
      <c r="T893" s="574"/>
      <c r="U893" s="574"/>
      <c r="V893" s="574"/>
      <c r="W893" s="574"/>
      <c r="X893" s="572"/>
      <c r="Y893" s="572"/>
      <c r="Z893" s="572"/>
      <c r="AB893" s="573"/>
    </row>
    <row r="894" spans="1:28" s="575" customFormat="1">
      <c r="A894" s="616"/>
      <c r="B894" s="576" t="s">
        <v>986</v>
      </c>
      <c r="C894" s="591"/>
      <c r="D894" s="617">
        <v>3</v>
      </c>
      <c r="E894" s="618"/>
      <c r="F894" s="619"/>
      <c r="G894" s="620"/>
      <c r="H894" s="621"/>
      <c r="I894" s="621"/>
      <c r="J894" s="623"/>
      <c r="K894" s="586"/>
      <c r="L894" s="586"/>
      <c r="M894" s="571"/>
      <c r="N894" s="588"/>
      <c r="O894" s="588"/>
      <c r="P894" s="589"/>
      <c r="Q894" s="572"/>
      <c r="R894" s="573"/>
      <c r="S894" s="574"/>
      <c r="T894" s="574"/>
      <c r="U894" s="574"/>
      <c r="V894" s="574"/>
      <c r="W894" s="574"/>
      <c r="X894" s="572"/>
      <c r="Y894" s="572"/>
      <c r="Z894" s="572"/>
      <c r="AB894" s="573"/>
    </row>
    <row r="895" spans="1:28" s="575" customFormat="1">
      <c r="A895" s="616"/>
      <c r="B895" s="576" t="s">
        <v>987</v>
      </c>
      <c r="C895" s="591"/>
      <c r="D895" s="617">
        <v>1</v>
      </c>
      <c r="E895" s="618"/>
      <c r="F895" s="619"/>
      <c r="G895" s="620"/>
      <c r="H895" s="621"/>
      <c r="I895" s="621"/>
      <c r="J895" s="623"/>
      <c r="K895" s="586"/>
      <c r="L895" s="586"/>
      <c r="M895" s="571"/>
      <c r="N895" s="588"/>
      <c r="O895" s="588"/>
      <c r="P895" s="589"/>
      <c r="Q895" s="572"/>
      <c r="R895" s="573"/>
      <c r="S895" s="574"/>
      <c r="T895" s="574"/>
      <c r="U895" s="574"/>
      <c r="V895" s="574"/>
      <c r="W895" s="574"/>
      <c r="X895" s="572"/>
      <c r="Y895" s="572"/>
      <c r="Z895" s="572"/>
      <c r="AB895" s="573"/>
    </row>
    <row r="896" spans="1:28" s="575" customFormat="1">
      <c r="A896" s="616"/>
      <c r="B896" s="576" t="s">
        <v>988</v>
      </c>
      <c r="C896" s="591"/>
      <c r="D896" s="617">
        <v>1</v>
      </c>
      <c r="E896" s="618"/>
      <c r="F896" s="619"/>
      <c r="G896" s="620"/>
      <c r="H896" s="621"/>
      <c r="I896" s="621"/>
      <c r="J896" s="623"/>
      <c r="K896" s="586"/>
      <c r="L896" s="586"/>
      <c r="M896" s="571"/>
      <c r="N896" s="588"/>
      <c r="O896" s="588"/>
      <c r="P896" s="589"/>
      <c r="Q896" s="572"/>
      <c r="R896" s="573"/>
      <c r="S896" s="574"/>
      <c r="T896" s="574"/>
      <c r="U896" s="574"/>
      <c r="V896" s="574"/>
      <c r="W896" s="574"/>
      <c r="X896" s="572"/>
      <c r="Y896" s="572"/>
      <c r="Z896" s="572"/>
      <c r="AB896" s="573"/>
    </row>
    <row r="897" spans="1:28" s="575" customFormat="1">
      <c r="A897" s="616"/>
      <c r="B897" s="576" t="s">
        <v>856</v>
      </c>
      <c r="C897" s="591"/>
      <c r="D897" s="617">
        <v>1</v>
      </c>
      <c r="E897" s="618"/>
      <c r="F897" s="619"/>
      <c r="G897" s="620"/>
      <c r="H897" s="621"/>
      <c r="I897" s="621"/>
      <c r="J897" s="623"/>
      <c r="K897" s="586"/>
      <c r="L897" s="586"/>
      <c r="M897" s="571"/>
      <c r="N897" s="588"/>
      <c r="O897" s="588"/>
      <c r="P897" s="589"/>
      <c r="Q897" s="572"/>
      <c r="R897" s="573"/>
      <c r="S897" s="574"/>
      <c r="T897" s="574"/>
      <c r="U897" s="574"/>
      <c r="V897" s="574"/>
      <c r="W897" s="574"/>
      <c r="X897" s="572"/>
      <c r="Y897" s="572"/>
      <c r="Z897" s="572"/>
      <c r="AB897" s="573"/>
    </row>
    <row r="898" spans="1:28" s="575" customFormat="1">
      <c r="A898" s="616"/>
      <c r="B898" s="576" t="s">
        <v>857</v>
      </c>
      <c r="C898" s="591"/>
      <c r="D898" s="617">
        <v>1</v>
      </c>
      <c r="E898" s="618"/>
      <c r="F898" s="619"/>
      <c r="G898" s="620"/>
      <c r="H898" s="621"/>
      <c r="I898" s="621"/>
      <c r="J898" s="623"/>
      <c r="K898" s="586"/>
      <c r="L898" s="586"/>
      <c r="M898" s="571"/>
      <c r="N898" s="588"/>
      <c r="O898" s="588"/>
      <c r="P898" s="589"/>
      <c r="Q898" s="572"/>
      <c r="R898" s="573"/>
      <c r="S898" s="574"/>
      <c r="T898" s="574"/>
      <c r="U898" s="574"/>
      <c r="V898" s="574"/>
      <c r="W898" s="574"/>
      <c r="X898" s="572"/>
      <c r="Y898" s="572"/>
      <c r="Z898" s="572"/>
      <c r="AB898" s="573"/>
    </row>
    <row r="899" spans="1:28" s="575" customFormat="1">
      <c r="A899" s="616"/>
      <c r="B899" s="576" t="s">
        <v>860</v>
      </c>
      <c r="C899" s="591"/>
      <c r="D899" s="617">
        <v>1</v>
      </c>
      <c r="E899" s="618"/>
      <c r="F899" s="619"/>
      <c r="G899" s="620"/>
      <c r="H899" s="621"/>
      <c r="I899" s="621"/>
      <c r="J899" s="623"/>
      <c r="K899" s="586"/>
      <c r="L899" s="586"/>
      <c r="M899" s="571"/>
      <c r="N899" s="588"/>
      <c r="O899" s="588"/>
      <c r="P899" s="589"/>
      <c r="Q899" s="572"/>
      <c r="R899" s="573"/>
      <c r="S899" s="574"/>
      <c r="T899" s="574"/>
      <c r="U899" s="574"/>
      <c r="V899" s="574"/>
      <c r="W899" s="574"/>
      <c r="X899" s="572"/>
      <c r="Y899" s="572"/>
      <c r="Z899" s="572"/>
      <c r="AB899" s="573"/>
    </row>
    <row r="900" spans="1:28" s="575" customFormat="1">
      <c r="A900" s="616"/>
      <c r="B900" s="576" t="s">
        <v>864</v>
      </c>
      <c r="C900" s="591"/>
      <c r="D900" s="617">
        <v>1</v>
      </c>
      <c r="E900" s="618"/>
      <c r="F900" s="619"/>
      <c r="G900" s="620"/>
      <c r="H900" s="621"/>
      <c r="I900" s="621"/>
      <c r="J900" s="623"/>
      <c r="K900" s="586"/>
      <c r="L900" s="586"/>
      <c r="M900" s="571"/>
      <c r="N900" s="588"/>
      <c r="O900" s="588"/>
      <c r="P900" s="589"/>
      <c r="Q900" s="572"/>
      <c r="R900" s="573"/>
      <c r="S900" s="574"/>
      <c r="T900" s="574"/>
      <c r="U900" s="574"/>
      <c r="V900" s="574"/>
      <c r="W900" s="574"/>
      <c r="X900" s="572"/>
      <c r="Y900" s="572"/>
      <c r="Z900" s="572"/>
      <c r="AB900" s="573"/>
    </row>
    <row r="901" spans="1:28" s="575" customFormat="1">
      <c r="A901" s="616"/>
      <c r="B901" s="576" t="s">
        <v>867</v>
      </c>
      <c r="C901" s="591"/>
      <c r="D901" s="617">
        <v>1</v>
      </c>
      <c r="E901" s="618"/>
      <c r="F901" s="619"/>
      <c r="G901" s="620"/>
      <c r="H901" s="621"/>
      <c r="I901" s="621"/>
      <c r="J901" s="623"/>
      <c r="K901" s="586"/>
      <c r="L901" s="586"/>
      <c r="M901" s="571"/>
      <c r="N901" s="588"/>
      <c r="O901" s="588"/>
      <c r="P901" s="589"/>
      <c r="Q901" s="572"/>
      <c r="R901" s="573"/>
      <c r="S901" s="574"/>
      <c r="T901" s="574"/>
      <c r="U901" s="574"/>
      <c r="V901" s="574"/>
      <c r="W901" s="574"/>
      <c r="X901" s="572"/>
      <c r="Y901" s="572"/>
      <c r="Z901" s="572"/>
      <c r="AB901" s="573"/>
    </row>
    <row r="902" spans="1:28" s="575" customFormat="1">
      <c r="A902" s="616"/>
      <c r="B902" s="576" t="s">
        <v>870</v>
      </c>
      <c r="C902" s="591"/>
      <c r="D902" s="617">
        <v>1</v>
      </c>
      <c r="E902" s="618"/>
      <c r="F902" s="619"/>
      <c r="G902" s="620"/>
      <c r="H902" s="621"/>
      <c r="I902" s="621"/>
      <c r="J902" s="623"/>
      <c r="K902" s="586"/>
      <c r="L902" s="586"/>
      <c r="M902" s="571"/>
      <c r="N902" s="588"/>
      <c r="O902" s="588"/>
      <c r="P902" s="589"/>
      <c r="Q902" s="572"/>
      <c r="R902" s="573"/>
      <c r="S902" s="574"/>
      <c r="T902" s="574"/>
      <c r="U902" s="574"/>
      <c r="V902" s="574"/>
      <c r="W902" s="574"/>
      <c r="X902" s="572"/>
      <c r="Y902" s="572"/>
      <c r="Z902" s="572"/>
      <c r="AB902" s="573"/>
    </row>
    <row r="903" spans="1:28" s="478" customFormat="1" ht="29.25" customHeight="1">
      <c r="A903" s="463" t="s">
        <v>1043</v>
      </c>
      <c r="B903" s="464" t="s">
        <v>1044</v>
      </c>
      <c r="C903" s="465" t="s">
        <v>195</v>
      </c>
      <c r="D903" s="466"/>
      <c r="E903" s="467"/>
      <c r="F903" s="468"/>
      <c r="G903" s="469"/>
      <c r="H903" s="470"/>
      <c r="I903" s="470"/>
      <c r="J903" s="472"/>
      <c r="K903" s="473"/>
      <c r="L903" s="473"/>
      <c r="M903" s="474"/>
      <c r="N903" s="479"/>
      <c r="O903" s="479"/>
      <c r="P903" s="480"/>
      <c r="Q903" s="475"/>
      <c r="R903" s="476"/>
      <c r="S903" s="477"/>
      <c r="T903" s="477"/>
      <c r="U903" s="477"/>
      <c r="V903" s="477"/>
      <c r="W903" s="477"/>
      <c r="X903" s="475"/>
      <c r="Y903" s="475"/>
      <c r="Z903" s="475"/>
      <c r="AB903" s="476"/>
    </row>
    <row r="904" spans="1:28" s="575" customFormat="1">
      <c r="A904" s="616"/>
      <c r="B904" s="570" t="s">
        <v>669</v>
      </c>
      <c r="C904" s="591"/>
      <c r="D904" s="617"/>
      <c r="E904" s="618"/>
      <c r="F904" s="619"/>
      <c r="G904" s="620"/>
      <c r="H904" s="621"/>
      <c r="I904" s="622"/>
      <c r="J904" s="623"/>
      <c r="K904" s="586"/>
      <c r="L904" s="586"/>
      <c r="M904" s="571"/>
      <c r="N904" s="577" t="s">
        <v>611</v>
      </c>
      <c r="O904" s="577" t="s">
        <v>611</v>
      </c>
      <c r="P904" s="577" t="s">
        <v>611</v>
      </c>
      <c r="Q904" s="572"/>
      <c r="R904" s="573"/>
      <c r="S904" s="574"/>
      <c r="T904" s="574"/>
      <c r="U904" s="574"/>
      <c r="V904" s="574"/>
      <c r="W904" s="574"/>
      <c r="X904" s="572"/>
      <c r="Y904" s="572"/>
      <c r="Z904" s="572"/>
      <c r="AB904" s="573" t="s">
        <v>668</v>
      </c>
    </row>
    <row r="905" spans="1:28" s="575" customFormat="1">
      <c r="A905" s="616"/>
      <c r="B905" s="591" t="s">
        <v>666</v>
      </c>
      <c r="C905" s="591"/>
      <c r="D905" s="617"/>
      <c r="E905" s="618"/>
      <c r="F905" s="619"/>
      <c r="G905" s="620"/>
      <c r="H905" s="621"/>
      <c r="I905" s="621"/>
      <c r="J905" s="623"/>
      <c r="K905" s="586"/>
      <c r="L905" s="586"/>
      <c r="M905" s="571"/>
      <c r="N905" s="588"/>
      <c r="O905" s="588"/>
      <c r="P905" s="589"/>
      <c r="Q905" s="572"/>
      <c r="R905" s="573"/>
      <c r="S905" s="574"/>
      <c r="T905" s="574"/>
      <c r="U905" s="574"/>
      <c r="V905" s="574"/>
      <c r="W905" s="574"/>
      <c r="X905" s="572"/>
      <c r="Y905" s="572"/>
      <c r="Z905" s="572"/>
      <c r="AB905" s="573"/>
    </row>
    <row r="906" spans="1:28" s="575" customFormat="1">
      <c r="A906" s="616"/>
      <c r="B906" s="576" t="s">
        <v>987</v>
      </c>
      <c r="C906" s="591"/>
      <c r="D906" s="617"/>
      <c r="E906" s="618">
        <v>1.35</v>
      </c>
      <c r="F906" s="619"/>
      <c r="G906" s="620"/>
      <c r="H906" s="621"/>
      <c r="I906" s="621"/>
      <c r="J906" s="623"/>
      <c r="K906" s="586"/>
      <c r="L906" s="586"/>
      <c r="M906" s="571"/>
      <c r="N906" s="588"/>
      <c r="O906" s="588"/>
      <c r="P906" s="589"/>
      <c r="Q906" s="572"/>
      <c r="R906" s="573"/>
      <c r="S906" s="574"/>
      <c r="T906" s="574"/>
      <c r="U906" s="574"/>
      <c r="V906" s="574"/>
      <c r="W906" s="574"/>
      <c r="X906" s="572"/>
      <c r="Y906" s="572"/>
      <c r="Z906" s="572"/>
      <c r="AB906" s="573"/>
    </row>
    <row r="907" spans="1:28" s="575" customFormat="1">
      <c r="A907" s="616"/>
      <c r="B907" s="576" t="s">
        <v>988</v>
      </c>
      <c r="C907" s="591"/>
      <c r="D907" s="617"/>
      <c r="E907" s="618">
        <v>1.35</v>
      </c>
      <c r="F907" s="619"/>
      <c r="G907" s="620"/>
      <c r="H907" s="621"/>
      <c r="I907" s="621"/>
      <c r="J907" s="623"/>
      <c r="K907" s="586"/>
      <c r="L907" s="586"/>
      <c r="M907" s="571"/>
      <c r="N907" s="588"/>
      <c r="O907" s="588"/>
      <c r="P907" s="589"/>
      <c r="Q907" s="572"/>
      <c r="R907" s="573"/>
      <c r="S907" s="574"/>
      <c r="T907" s="574"/>
      <c r="U907" s="574"/>
      <c r="V907" s="574"/>
      <c r="W907" s="574"/>
      <c r="X907" s="572"/>
      <c r="Y907" s="572"/>
      <c r="Z907" s="572"/>
      <c r="AB907" s="573"/>
    </row>
    <row r="908" spans="1:28" s="575" customFormat="1">
      <c r="A908" s="616"/>
      <c r="B908" s="576" t="s">
        <v>856</v>
      </c>
      <c r="C908" s="591"/>
      <c r="D908" s="617"/>
      <c r="E908" s="618">
        <v>1.35</v>
      </c>
      <c r="F908" s="619"/>
      <c r="G908" s="620"/>
      <c r="H908" s="621"/>
      <c r="I908" s="621"/>
      <c r="J908" s="623"/>
      <c r="K908" s="586"/>
      <c r="L908" s="586"/>
      <c r="M908" s="571"/>
      <c r="N908" s="588"/>
      <c r="O908" s="588"/>
      <c r="P908" s="589"/>
      <c r="Q908" s="572"/>
      <c r="R908" s="573"/>
      <c r="S908" s="574"/>
      <c r="T908" s="574"/>
      <c r="U908" s="574"/>
      <c r="V908" s="574"/>
      <c r="W908" s="574"/>
      <c r="X908" s="572"/>
      <c r="Y908" s="572"/>
      <c r="Z908" s="572"/>
      <c r="AB908" s="573"/>
    </row>
    <row r="909" spans="1:28" s="575" customFormat="1">
      <c r="A909" s="616"/>
      <c r="B909" s="576" t="s">
        <v>857</v>
      </c>
      <c r="C909" s="591"/>
      <c r="D909" s="617"/>
      <c r="E909" s="618">
        <v>1.35</v>
      </c>
      <c r="F909" s="619"/>
      <c r="G909" s="620"/>
      <c r="H909" s="621"/>
      <c r="I909" s="621"/>
      <c r="J909" s="623"/>
      <c r="K909" s="586"/>
      <c r="L909" s="586"/>
      <c r="M909" s="571"/>
      <c r="N909" s="588"/>
      <c r="O909" s="588"/>
      <c r="P909" s="589"/>
      <c r="Q909" s="572"/>
      <c r="R909" s="573"/>
      <c r="S909" s="574"/>
      <c r="T909" s="574"/>
      <c r="U909" s="574"/>
      <c r="V909" s="574"/>
      <c r="W909" s="574"/>
      <c r="X909" s="572"/>
      <c r="Y909" s="572"/>
      <c r="Z909" s="572"/>
      <c r="AB909" s="573"/>
    </row>
    <row r="910" spans="1:28" s="575" customFormat="1">
      <c r="A910" s="616"/>
      <c r="B910" s="576" t="s">
        <v>860</v>
      </c>
      <c r="C910" s="591"/>
      <c r="D910" s="617"/>
      <c r="E910" s="618">
        <v>1.35</v>
      </c>
      <c r="F910" s="619"/>
      <c r="G910" s="620"/>
      <c r="H910" s="621"/>
      <c r="I910" s="621"/>
      <c r="J910" s="623"/>
      <c r="K910" s="586"/>
      <c r="L910" s="586"/>
      <c r="M910" s="571"/>
      <c r="N910" s="588"/>
      <c r="O910" s="588"/>
      <c r="P910" s="589"/>
      <c r="Q910" s="572"/>
      <c r="R910" s="573"/>
      <c r="S910" s="574"/>
      <c r="T910" s="574"/>
      <c r="U910" s="574"/>
      <c r="V910" s="574"/>
      <c r="W910" s="574"/>
      <c r="X910" s="572"/>
      <c r="Y910" s="572"/>
      <c r="Z910" s="572"/>
      <c r="AB910" s="573"/>
    </row>
    <row r="911" spans="1:28" s="575" customFormat="1">
      <c r="A911" s="616"/>
      <c r="B911" s="576" t="s">
        <v>864</v>
      </c>
      <c r="C911" s="591"/>
      <c r="D911" s="617"/>
      <c r="E911" s="618">
        <v>1.35</v>
      </c>
      <c r="F911" s="619"/>
      <c r="G911" s="620"/>
      <c r="H911" s="621"/>
      <c r="I911" s="621"/>
      <c r="J911" s="623"/>
      <c r="K911" s="586"/>
      <c r="L911" s="586"/>
      <c r="M911" s="571"/>
      <c r="N911" s="588"/>
      <c r="O911" s="588"/>
      <c r="P911" s="589"/>
      <c r="Q911" s="572"/>
      <c r="R911" s="573"/>
      <c r="S911" s="574"/>
      <c r="T911" s="574"/>
      <c r="U911" s="574"/>
      <c r="V911" s="574"/>
      <c r="W911" s="574"/>
      <c r="X911" s="572"/>
      <c r="Y911" s="572"/>
      <c r="Z911" s="572"/>
      <c r="AB911" s="573"/>
    </row>
    <row r="912" spans="1:28" s="575" customFormat="1">
      <c r="A912" s="616"/>
      <c r="B912" s="576" t="s">
        <v>867</v>
      </c>
      <c r="C912" s="591"/>
      <c r="D912" s="617"/>
      <c r="E912" s="618">
        <v>1.25</v>
      </c>
      <c r="F912" s="619"/>
      <c r="G912" s="620"/>
      <c r="H912" s="621"/>
      <c r="I912" s="621"/>
      <c r="J912" s="623"/>
      <c r="K912" s="586"/>
      <c r="L912" s="586"/>
      <c r="M912" s="571"/>
      <c r="N912" s="588"/>
      <c r="O912" s="588"/>
      <c r="P912" s="589"/>
      <c r="Q912" s="572"/>
      <c r="R912" s="573"/>
      <c r="S912" s="574"/>
      <c r="T912" s="574"/>
      <c r="U912" s="574"/>
      <c r="V912" s="574"/>
      <c r="W912" s="574"/>
      <c r="X912" s="572"/>
      <c r="Y912" s="572"/>
      <c r="Z912" s="572"/>
      <c r="AB912" s="573"/>
    </row>
    <row r="913" spans="1:28" s="575" customFormat="1">
      <c r="A913" s="616"/>
      <c r="B913" s="576" t="s">
        <v>870</v>
      </c>
      <c r="C913" s="591"/>
      <c r="D913" s="617"/>
      <c r="E913" s="618">
        <v>1.1000000000000001</v>
      </c>
      <c r="F913" s="619"/>
      <c r="G913" s="620"/>
      <c r="H913" s="621"/>
      <c r="I913" s="621"/>
      <c r="J913" s="623"/>
      <c r="K913" s="586"/>
      <c r="L913" s="586"/>
      <c r="M913" s="571"/>
      <c r="N913" s="588"/>
      <c r="O913" s="588"/>
      <c r="P913" s="589"/>
      <c r="Q913" s="572"/>
      <c r="R913" s="573"/>
      <c r="S913" s="574"/>
      <c r="T913" s="574"/>
      <c r="U913" s="574"/>
      <c r="V913" s="574"/>
      <c r="W913" s="574"/>
      <c r="X913" s="572"/>
      <c r="Y913" s="572"/>
      <c r="Z913" s="572"/>
      <c r="AB913" s="573"/>
    </row>
    <row r="914" spans="1:28" s="478" customFormat="1" ht="29.25" customHeight="1">
      <c r="A914" s="463" t="s">
        <v>1045</v>
      </c>
      <c r="B914" s="464" t="s">
        <v>1046</v>
      </c>
      <c r="C914" s="465" t="s">
        <v>195</v>
      </c>
      <c r="D914" s="466"/>
      <c r="E914" s="467"/>
      <c r="F914" s="468"/>
      <c r="G914" s="469"/>
      <c r="H914" s="470"/>
      <c r="I914" s="470"/>
      <c r="J914" s="472"/>
      <c r="K914" s="473"/>
      <c r="L914" s="473"/>
      <c r="M914" s="474"/>
      <c r="N914" s="479"/>
      <c r="O914" s="479"/>
      <c r="P914" s="480"/>
      <c r="Q914" s="475"/>
      <c r="R914" s="476"/>
      <c r="S914" s="477"/>
      <c r="T914" s="477"/>
      <c r="U914" s="477"/>
      <c r="V914" s="477"/>
      <c r="W914" s="477"/>
      <c r="X914" s="475"/>
      <c r="Y914" s="475"/>
      <c r="Z914" s="475"/>
      <c r="AB914" s="476"/>
    </row>
    <row r="915" spans="1:28" s="575" customFormat="1">
      <c r="A915" s="616"/>
      <c r="B915" s="570" t="s">
        <v>669</v>
      </c>
      <c r="C915" s="591"/>
      <c r="D915" s="617"/>
      <c r="E915" s="618"/>
      <c r="F915" s="619"/>
      <c r="G915" s="620"/>
      <c r="H915" s="621"/>
      <c r="I915" s="622"/>
      <c r="J915" s="623"/>
      <c r="K915" s="586"/>
      <c r="L915" s="586"/>
      <c r="M915" s="571"/>
      <c r="N915" s="577" t="s">
        <v>611</v>
      </c>
      <c r="O915" s="577" t="s">
        <v>611</v>
      </c>
      <c r="P915" s="577" t="s">
        <v>611</v>
      </c>
      <c r="Q915" s="572"/>
      <c r="R915" s="573"/>
      <c r="S915" s="574"/>
      <c r="T915" s="574"/>
      <c r="U915" s="574"/>
      <c r="V915" s="574"/>
      <c r="W915" s="574"/>
      <c r="X915" s="572"/>
      <c r="Y915" s="572"/>
      <c r="Z915" s="572"/>
      <c r="AB915" s="573" t="s">
        <v>668</v>
      </c>
    </row>
    <row r="916" spans="1:28" s="575" customFormat="1">
      <c r="A916" s="616"/>
      <c r="B916" s="591" t="s">
        <v>666</v>
      </c>
      <c r="C916" s="591"/>
      <c r="D916" s="617"/>
      <c r="E916" s="618"/>
      <c r="F916" s="619"/>
      <c r="G916" s="620"/>
      <c r="H916" s="621"/>
      <c r="I916" s="621"/>
      <c r="J916" s="623"/>
      <c r="K916" s="586"/>
      <c r="L916" s="586"/>
      <c r="M916" s="571"/>
      <c r="N916" s="588"/>
      <c r="O916" s="588"/>
      <c r="P916" s="589"/>
      <c r="Q916" s="572"/>
      <c r="R916" s="573"/>
      <c r="S916" s="574"/>
      <c r="T916" s="574"/>
      <c r="U916" s="574"/>
      <c r="V916" s="574"/>
      <c r="W916" s="574"/>
      <c r="X916" s="572"/>
      <c r="Y916" s="572"/>
      <c r="Z916" s="572"/>
      <c r="AB916" s="573"/>
    </row>
    <row r="917" spans="1:28" s="575" customFormat="1">
      <c r="A917" s="616"/>
      <c r="B917" s="576" t="s">
        <v>753</v>
      </c>
      <c r="C917" s="591"/>
      <c r="D917" s="617">
        <v>1</v>
      </c>
      <c r="E917" s="618"/>
      <c r="F917" s="619"/>
      <c r="G917" s="620"/>
      <c r="H917" s="621"/>
      <c r="I917" s="621"/>
      <c r="J917" s="623"/>
      <c r="K917" s="586"/>
      <c r="L917" s="586"/>
      <c r="M917" s="571"/>
      <c r="N917" s="588"/>
      <c r="O917" s="588"/>
      <c r="P917" s="589"/>
      <c r="Q917" s="572"/>
      <c r="R917" s="573"/>
      <c r="S917" s="574"/>
      <c r="T917" s="574"/>
      <c r="U917" s="574"/>
      <c r="V917" s="574"/>
      <c r="W917" s="574"/>
      <c r="X917" s="572"/>
      <c r="Y917" s="572"/>
      <c r="Z917" s="572"/>
      <c r="AB917" s="573"/>
    </row>
    <row r="918" spans="1:28" s="575" customFormat="1">
      <c r="A918" s="616"/>
      <c r="B918" s="576" t="s">
        <v>984</v>
      </c>
      <c r="C918" s="591"/>
      <c r="D918" s="617">
        <v>1</v>
      </c>
      <c r="E918" s="618"/>
      <c r="F918" s="619"/>
      <c r="G918" s="620"/>
      <c r="H918" s="621"/>
      <c r="I918" s="621"/>
      <c r="J918" s="623"/>
      <c r="K918" s="586"/>
      <c r="L918" s="586"/>
      <c r="M918" s="571"/>
      <c r="N918" s="588"/>
      <c r="O918" s="588"/>
      <c r="P918" s="589"/>
      <c r="Q918" s="572"/>
      <c r="R918" s="573"/>
      <c r="S918" s="574"/>
      <c r="T918" s="574"/>
      <c r="U918" s="574"/>
      <c r="V918" s="574"/>
      <c r="W918" s="574"/>
      <c r="X918" s="572"/>
      <c r="Y918" s="572"/>
      <c r="Z918" s="572"/>
      <c r="AB918" s="573"/>
    </row>
    <row r="919" spans="1:28" s="575" customFormat="1">
      <c r="A919" s="616"/>
      <c r="B919" s="576" t="s">
        <v>985</v>
      </c>
      <c r="C919" s="591"/>
      <c r="D919" s="617">
        <v>2</v>
      </c>
      <c r="E919" s="618"/>
      <c r="F919" s="619"/>
      <c r="G919" s="620"/>
      <c r="H919" s="621"/>
      <c r="I919" s="621"/>
      <c r="J919" s="623"/>
      <c r="K919" s="586"/>
      <c r="L919" s="586"/>
      <c r="M919" s="571"/>
      <c r="N919" s="588"/>
      <c r="O919" s="588"/>
      <c r="P919" s="589"/>
      <c r="Q919" s="572"/>
      <c r="R919" s="573"/>
      <c r="S919" s="574"/>
      <c r="T919" s="574"/>
      <c r="U919" s="574"/>
      <c r="V919" s="574"/>
      <c r="W919" s="574"/>
      <c r="X919" s="572"/>
      <c r="Y919" s="572"/>
      <c r="Z919" s="572"/>
      <c r="AB919" s="573"/>
    </row>
    <row r="920" spans="1:28" s="575" customFormat="1">
      <c r="A920" s="616"/>
      <c r="B920" s="576" t="s">
        <v>986</v>
      </c>
      <c r="C920" s="591"/>
      <c r="D920" s="617">
        <v>2</v>
      </c>
      <c r="E920" s="618"/>
      <c r="F920" s="619"/>
      <c r="G920" s="620"/>
      <c r="H920" s="621"/>
      <c r="I920" s="621"/>
      <c r="J920" s="623"/>
      <c r="K920" s="586"/>
      <c r="L920" s="586"/>
      <c r="M920" s="571"/>
      <c r="N920" s="588"/>
      <c r="O920" s="588"/>
      <c r="P920" s="589"/>
      <c r="Q920" s="572"/>
      <c r="R920" s="573"/>
      <c r="S920" s="574"/>
      <c r="T920" s="574"/>
      <c r="U920" s="574"/>
      <c r="V920" s="574"/>
      <c r="W920" s="574"/>
      <c r="X920" s="572"/>
      <c r="Y920" s="572"/>
      <c r="Z920" s="572"/>
      <c r="AB920" s="573"/>
    </row>
    <row r="921" spans="1:28" s="575" customFormat="1">
      <c r="A921" s="616"/>
      <c r="B921" s="576" t="s">
        <v>987</v>
      </c>
      <c r="C921" s="591"/>
      <c r="D921" s="617">
        <v>1</v>
      </c>
      <c r="E921" s="618"/>
      <c r="F921" s="619"/>
      <c r="G921" s="620"/>
      <c r="H921" s="621"/>
      <c r="I921" s="621"/>
      <c r="J921" s="623"/>
      <c r="K921" s="586"/>
      <c r="L921" s="586"/>
      <c r="M921" s="571"/>
      <c r="N921" s="588"/>
      <c r="O921" s="588"/>
      <c r="P921" s="589"/>
      <c r="Q921" s="572"/>
      <c r="R921" s="573"/>
      <c r="S921" s="574"/>
      <c r="T921" s="574"/>
      <c r="U921" s="574"/>
      <c r="V921" s="574"/>
      <c r="W921" s="574"/>
      <c r="X921" s="572"/>
      <c r="Y921" s="572"/>
      <c r="Z921" s="572"/>
      <c r="AB921" s="573"/>
    </row>
    <row r="922" spans="1:28" s="575" customFormat="1">
      <c r="A922" s="616"/>
      <c r="B922" s="576" t="s">
        <v>988</v>
      </c>
      <c r="C922" s="591"/>
      <c r="D922" s="617">
        <v>1</v>
      </c>
      <c r="E922" s="618"/>
      <c r="F922" s="619"/>
      <c r="G922" s="620"/>
      <c r="H922" s="621"/>
      <c r="I922" s="621"/>
      <c r="J922" s="623"/>
      <c r="K922" s="586"/>
      <c r="L922" s="586"/>
      <c r="M922" s="571"/>
      <c r="N922" s="588"/>
      <c r="O922" s="588"/>
      <c r="P922" s="589"/>
      <c r="Q922" s="572"/>
      <c r="R922" s="573"/>
      <c r="S922" s="574"/>
      <c r="T922" s="574"/>
      <c r="U922" s="574"/>
      <c r="V922" s="574"/>
      <c r="W922" s="574"/>
      <c r="X922" s="572"/>
      <c r="Y922" s="572"/>
      <c r="Z922" s="572"/>
      <c r="AB922" s="573"/>
    </row>
    <row r="923" spans="1:28" s="575" customFormat="1">
      <c r="A923" s="616"/>
      <c r="B923" s="576" t="s">
        <v>856</v>
      </c>
      <c r="C923" s="591"/>
      <c r="D923" s="617">
        <v>1</v>
      </c>
      <c r="E923" s="618"/>
      <c r="F923" s="619"/>
      <c r="G923" s="620"/>
      <c r="H923" s="621"/>
      <c r="I923" s="621"/>
      <c r="J923" s="623"/>
      <c r="K923" s="586"/>
      <c r="L923" s="586"/>
      <c r="M923" s="571"/>
      <c r="N923" s="588"/>
      <c r="O923" s="588"/>
      <c r="P923" s="589"/>
      <c r="Q923" s="572"/>
      <c r="R923" s="573"/>
      <c r="S923" s="574"/>
      <c r="T923" s="574"/>
      <c r="U923" s="574"/>
      <c r="V923" s="574"/>
      <c r="W923" s="574"/>
      <c r="X923" s="572"/>
      <c r="Y923" s="572"/>
      <c r="Z923" s="572"/>
      <c r="AB923" s="573"/>
    </row>
    <row r="924" spans="1:28" s="575" customFormat="1">
      <c r="A924" s="616"/>
      <c r="B924" s="576" t="s">
        <v>857</v>
      </c>
      <c r="C924" s="591"/>
      <c r="D924" s="617">
        <v>1</v>
      </c>
      <c r="E924" s="618"/>
      <c r="F924" s="619"/>
      <c r="G924" s="620"/>
      <c r="H924" s="621"/>
      <c r="I924" s="621"/>
      <c r="J924" s="623"/>
      <c r="K924" s="586"/>
      <c r="L924" s="586"/>
      <c r="M924" s="571"/>
      <c r="N924" s="588"/>
      <c r="O924" s="588"/>
      <c r="P924" s="589"/>
      <c r="Q924" s="572"/>
      <c r="R924" s="573"/>
      <c r="S924" s="574"/>
      <c r="T924" s="574"/>
      <c r="U924" s="574"/>
      <c r="V924" s="574"/>
      <c r="W924" s="574"/>
      <c r="X924" s="572"/>
      <c r="Y924" s="572"/>
      <c r="Z924" s="572"/>
      <c r="AB924" s="573"/>
    </row>
    <row r="925" spans="1:28" s="575" customFormat="1">
      <c r="A925" s="616"/>
      <c r="B925" s="576" t="s">
        <v>860</v>
      </c>
      <c r="C925" s="591"/>
      <c r="D925" s="617">
        <v>1</v>
      </c>
      <c r="E925" s="618"/>
      <c r="F925" s="619"/>
      <c r="G925" s="620"/>
      <c r="H925" s="621"/>
      <c r="I925" s="621"/>
      <c r="J925" s="623"/>
      <c r="K925" s="586"/>
      <c r="L925" s="586"/>
      <c r="M925" s="571"/>
      <c r="N925" s="588"/>
      <c r="O925" s="588"/>
      <c r="P925" s="589"/>
      <c r="Q925" s="572"/>
      <c r="R925" s="573"/>
      <c r="S925" s="574"/>
      <c r="T925" s="574"/>
      <c r="U925" s="574"/>
      <c r="V925" s="574"/>
      <c r="W925" s="574"/>
      <c r="X925" s="572"/>
      <c r="Y925" s="572"/>
      <c r="Z925" s="572"/>
      <c r="AB925" s="573"/>
    </row>
    <row r="926" spans="1:28" s="575" customFormat="1">
      <c r="A926" s="616"/>
      <c r="B926" s="576" t="s">
        <v>864</v>
      </c>
      <c r="C926" s="591"/>
      <c r="D926" s="617">
        <v>1</v>
      </c>
      <c r="E926" s="618"/>
      <c r="F926" s="619"/>
      <c r="G926" s="620"/>
      <c r="H926" s="621"/>
      <c r="I926" s="621"/>
      <c r="J926" s="623"/>
      <c r="K926" s="586"/>
      <c r="L926" s="586"/>
      <c r="M926" s="571"/>
      <c r="N926" s="588"/>
      <c r="O926" s="588"/>
      <c r="P926" s="589"/>
      <c r="Q926" s="572"/>
      <c r="R926" s="573"/>
      <c r="S926" s="574"/>
      <c r="T926" s="574"/>
      <c r="U926" s="574"/>
      <c r="V926" s="574"/>
      <c r="W926" s="574"/>
      <c r="X926" s="572"/>
      <c r="Y926" s="572"/>
      <c r="Z926" s="572"/>
      <c r="AB926" s="573"/>
    </row>
    <row r="927" spans="1:28" s="575" customFormat="1">
      <c r="A927" s="616"/>
      <c r="B927" s="576" t="s">
        <v>867</v>
      </c>
      <c r="C927" s="591"/>
      <c r="D927" s="617">
        <v>1</v>
      </c>
      <c r="E927" s="618"/>
      <c r="F927" s="619"/>
      <c r="G927" s="620"/>
      <c r="H927" s="621"/>
      <c r="I927" s="621"/>
      <c r="J927" s="623"/>
      <c r="K927" s="586"/>
      <c r="L927" s="586"/>
      <c r="M927" s="571"/>
      <c r="N927" s="588"/>
      <c r="O927" s="588"/>
      <c r="P927" s="589"/>
      <c r="Q927" s="572"/>
      <c r="R927" s="573"/>
      <c r="S927" s="574"/>
      <c r="T927" s="574"/>
      <c r="U927" s="574"/>
      <c r="V927" s="574"/>
      <c r="W927" s="574"/>
      <c r="X927" s="572"/>
      <c r="Y927" s="572"/>
      <c r="Z927" s="572"/>
      <c r="AB927" s="573"/>
    </row>
    <row r="928" spans="1:28" s="575" customFormat="1">
      <c r="A928" s="616"/>
      <c r="B928" s="576" t="s">
        <v>870</v>
      </c>
      <c r="C928" s="591"/>
      <c r="D928" s="617">
        <v>1</v>
      </c>
      <c r="E928" s="618"/>
      <c r="F928" s="619"/>
      <c r="G928" s="620"/>
      <c r="H928" s="621"/>
      <c r="I928" s="621"/>
      <c r="J928" s="623"/>
      <c r="K928" s="586"/>
      <c r="L928" s="586"/>
      <c r="M928" s="571"/>
      <c r="N928" s="588"/>
      <c r="O928" s="588"/>
      <c r="P928" s="589"/>
      <c r="Q928" s="572"/>
      <c r="R928" s="573"/>
      <c r="S928" s="574"/>
      <c r="T928" s="574"/>
      <c r="U928" s="574"/>
      <c r="V928" s="574"/>
      <c r="W928" s="574"/>
      <c r="X928" s="572"/>
      <c r="Y928" s="572"/>
      <c r="Z928" s="572"/>
      <c r="AB928" s="573"/>
    </row>
    <row r="929" spans="1:28" s="542" customFormat="1">
      <c r="A929" s="538"/>
      <c r="B929" s="552"/>
      <c r="C929" s="544"/>
      <c r="D929" s="535"/>
      <c r="E929" s="545"/>
      <c r="F929" s="546"/>
      <c r="G929" s="547"/>
      <c r="H929" s="548"/>
      <c r="I929" s="548"/>
      <c r="J929" s="550"/>
      <c r="K929" s="253"/>
      <c r="L929" s="253"/>
      <c r="M929" s="537"/>
      <c r="N929" s="482"/>
      <c r="O929" s="482"/>
      <c r="P929" s="483"/>
      <c r="Q929" s="539"/>
      <c r="R929" s="540"/>
      <c r="S929" s="541"/>
      <c r="T929" s="541"/>
      <c r="U929" s="541"/>
      <c r="V929" s="541"/>
      <c r="W929" s="541"/>
      <c r="X929" s="539"/>
      <c r="Y929" s="539"/>
      <c r="Z929" s="539"/>
      <c r="AB929" s="540"/>
    </row>
    <row r="930" spans="1:28" s="542" customFormat="1">
      <c r="A930" s="538"/>
      <c r="B930" s="552"/>
      <c r="C930" s="544"/>
      <c r="D930" s="535"/>
      <c r="E930" s="545"/>
      <c r="F930" s="546"/>
      <c r="G930" s="547"/>
      <c r="H930" s="548"/>
      <c r="I930" s="548"/>
      <c r="J930" s="550"/>
      <c r="K930" s="253"/>
      <c r="L930" s="253"/>
      <c r="M930" s="537"/>
      <c r="N930" s="482"/>
      <c r="O930" s="482"/>
      <c r="P930" s="483"/>
      <c r="Q930" s="539"/>
      <c r="R930" s="540"/>
      <c r="S930" s="541"/>
      <c r="T930" s="541"/>
      <c r="U930" s="541"/>
      <c r="V930" s="541"/>
      <c r="W930" s="541"/>
      <c r="X930" s="539"/>
      <c r="Y930" s="539"/>
      <c r="Z930" s="539"/>
      <c r="AB930" s="540"/>
    </row>
    <row r="931" spans="1:28" s="542" customFormat="1">
      <c r="A931" s="538"/>
      <c r="B931" s="552"/>
      <c r="C931" s="544"/>
      <c r="D931" s="535"/>
      <c r="E931" s="545"/>
      <c r="F931" s="546"/>
      <c r="G931" s="547"/>
      <c r="H931" s="548"/>
      <c r="I931" s="548"/>
      <c r="J931" s="550"/>
      <c r="K931" s="253"/>
      <c r="L931" s="253"/>
      <c r="M931" s="537"/>
      <c r="N931" s="482"/>
      <c r="O931" s="482"/>
      <c r="P931" s="483"/>
      <c r="Q931" s="539"/>
      <c r="R931" s="540"/>
      <c r="S931" s="541"/>
      <c r="T931" s="541"/>
      <c r="U931" s="541"/>
      <c r="V931" s="541"/>
      <c r="W931" s="541"/>
      <c r="X931" s="539"/>
      <c r="Y931" s="539"/>
      <c r="Z931" s="539"/>
      <c r="AB931" s="540"/>
    </row>
    <row r="932" spans="1:28" s="542" customFormat="1">
      <c r="A932" s="538"/>
      <c r="B932" s="552"/>
      <c r="C932" s="544"/>
      <c r="D932" s="535"/>
      <c r="E932" s="545"/>
      <c r="F932" s="546"/>
      <c r="G932" s="547"/>
      <c r="H932" s="548"/>
      <c r="I932" s="548"/>
      <c r="J932" s="550"/>
      <c r="K932" s="253"/>
      <c r="L932" s="253"/>
      <c r="M932" s="537"/>
      <c r="N932" s="482"/>
      <c r="O932" s="482"/>
      <c r="P932" s="483"/>
      <c r="Q932" s="539"/>
      <c r="R932" s="540"/>
      <c r="S932" s="541"/>
      <c r="T932" s="541"/>
      <c r="U932" s="541"/>
      <c r="V932" s="541"/>
      <c r="W932" s="541"/>
      <c r="X932" s="539"/>
      <c r="Y932" s="539"/>
      <c r="Z932" s="539"/>
      <c r="AB932" s="540"/>
    </row>
    <row r="933" spans="1:28" s="542" customFormat="1">
      <c r="A933" s="538"/>
      <c r="B933" s="552"/>
      <c r="C933" s="544"/>
      <c r="D933" s="535"/>
      <c r="E933" s="545"/>
      <c r="F933" s="546"/>
      <c r="G933" s="547"/>
      <c r="H933" s="548"/>
      <c r="I933" s="548"/>
      <c r="J933" s="550"/>
      <c r="K933" s="253"/>
      <c r="L933" s="253"/>
      <c r="M933" s="537"/>
      <c r="N933" s="482"/>
      <c r="O933" s="482"/>
      <c r="P933" s="483"/>
      <c r="Q933" s="539"/>
      <c r="R933" s="540"/>
      <c r="S933" s="541"/>
      <c r="T933" s="541"/>
      <c r="U933" s="541"/>
      <c r="V933" s="541"/>
      <c r="W933" s="541"/>
      <c r="X933" s="539"/>
      <c r="Y933" s="539"/>
      <c r="Z933" s="539"/>
      <c r="AB933" s="540"/>
    </row>
    <row r="934" spans="1:28" s="542" customFormat="1">
      <c r="A934" s="538"/>
      <c r="B934" s="552"/>
      <c r="C934" s="544"/>
      <c r="D934" s="535"/>
      <c r="E934" s="545"/>
      <c r="F934" s="546"/>
      <c r="G934" s="547"/>
      <c r="H934" s="548"/>
      <c r="I934" s="548"/>
      <c r="J934" s="550"/>
      <c r="K934" s="253"/>
      <c r="L934" s="253"/>
      <c r="M934" s="537"/>
      <c r="N934" s="482"/>
      <c r="O934" s="482"/>
      <c r="P934" s="483"/>
      <c r="Q934" s="539"/>
      <c r="R934" s="540"/>
      <c r="S934" s="541"/>
      <c r="T934" s="541"/>
      <c r="U934" s="541"/>
      <c r="V934" s="541"/>
      <c r="W934" s="541"/>
      <c r="X934" s="539"/>
      <c r="Y934" s="539"/>
      <c r="Z934" s="539"/>
      <c r="AB934" s="540"/>
    </row>
    <row r="935" spans="1:28" s="542" customFormat="1">
      <c r="A935" s="538"/>
      <c r="B935" s="552"/>
      <c r="C935" s="544"/>
      <c r="D935" s="535"/>
      <c r="E935" s="545"/>
      <c r="F935" s="546"/>
      <c r="G935" s="547"/>
      <c r="H935" s="548"/>
      <c r="I935" s="548"/>
      <c r="J935" s="550"/>
      <c r="K935" s="253"/>
      <c r="L935" s="253"/>
      <c r="M935" s="537"/>
      <c r="N935" s="482"/>
      <c r="O935" s="482"/>
      <c r="P935" s="483"/>
      <c r="Q935" s="539"/>
      <c r="R935" s="540"/>
      <c r="S935" s="541"/>
      <c r="T935" s="541"/>
      <c r="U935" s="541"/>
      <c r="V935" s="541"/>
      <c r="W935" s="541"/>
      <c r="X935" s="539"/>
      <c r="Y935" s="539"/>
      <c r="Z935" s="539"/>
      <c r="AB935" s="540"/>
    </row>
    <row r="936" spans="1:28" s="542" customFormat="1">
      <c r="A936" s="538"/>
      <c r="B936" s="552"/>
      <c r="C936" s="544"/>
      <c r="D936" s="535"/>
      <c r="E936" s="545"/>
      <c r="F936" s="546"/>
      <c r="G936" s="547"/>
      <c r="H936" s="548"/>
      <c r="I936" s="548"/>
      <c r="J936" s="550"/>
      <c r="K936" s="253"/>
      <c r="L936" s="253"/>
      <c r="M936" s="537"/>
      <c r="N936" s="482"/>
      <c r="O936" s="482"/>
      <c r="P936" s="483"/>
      <c r="Q936" s="539"/>
      <c r="R936" s="540"/>
      <c r="S936" s="541"/>
      <c r="T936" s="541"/>
      <c r="U936" s="541"/>
      <c r="V936" s="541"/>
      <c r="W936" s="541"/>
      <c r="X936" s="539"/>
      <c r="Y936" s="539"/>
      <c r="Z936" s="539"/>
      <c r="AB936" s="540"/>
    </row>
    <row r="937" spans="1:28" s="542" customFormat="1">
      <c r="A937" s="538"/>
      <c r="B937" s="552"/>
      <c r="C937" s="544"/>
      <c r="D937" s="535"/>
      <c r="E937" s="545"/>
      <c r="F937" s="546"/>
      <c r="G937" s="547"/>
      <c r="H937" s="548"/>
      <c r="I937" s="548"/>
      <c r="J937" s="550"/>
      <c r="K937" s="253"/>
      <c r="L937" s="253"/>
      <c r="M937" s="537"/>
      <c r="N937" s="482"/>
      <c r="O937" s="482"/>
      <c r="P937" s="483"/>
      <c r="Q937" s="539"/>
      <c r="R937" s="540"/>
      <c r="S937" s="541"/>
      <c r="T937" s="541"/>
      <c r="U937" s="541"/>
      <c r="V937" s="541"/>
      <c r="W937" s="541"/>
      <c r="X937" s="539"/>
      <c r="Y937" s="539"/>
      <c r="Z937" s="539"/>
      <c r="AB937" s="540"/>
    </row>
  </sheetData>
  <mergeCells count="1">
    <mergeCell ref="A2:K2"/>
  </mergeCells>
  <conditionalFormatting sqref="A4:K5 A22:K23 A27:K27 A14:C14 A10:C10 A6:J6 B18:C18 A114:K114 A31:C31">
    <cfRule type="expression" dxfId="797" priority="479">
      <formula>$O4="TÍTULO"</formula>
    </cfRule>
    <cfRule type="expression" dxfId="796" priority="480">
      <formula>$O4="OK"</formula>
    </cfRule>
  </conditionalFormatting>
  <conditionalFormatting sqref="D14:J14">
    <cfRule type="expression" dxfId="795" priority="361">
      <formula>$O14="TÍTULO"</formula>
    </cfRule>
    <cfRule type="expression" dxfId="794" priority="362">
      <formula>$O14="OK"</formula>
    </cfRule>
  </conditionalFormatting>
  <conditionalFormatting sqref="D10:J10">
    <cfRule type="expression" dxfId="793" priority="359">
      <formula>$O10="TÍTULO"</formula>
    </cfRule>
    <cfRule type="expression" dxfId="792" priority="360">
      <formula>$O10="OK"</formula>
    </cfRule>
  </conditionalFormatting>
  <conditionalFormatting sqref="K6">
    <cfRule type="expression" dxfId="791" priority="355">
      <formula>$O6="TÍTULO"</formula>
    </cfRule>
    <cfRule type="expression" dxfId="790" priority="356">
      <formula>$O6="OK"</formula>
    </cfRule>
  </conditionalFormatting>
  <conditionalFormatting sqref="K10">
    <cfRule type="expression" dxfId="789" priority="353">
      <formula>$O10="TÍTULO"</formula>
    </cfRule>
    <cfRule type="expression" dxfId="788" priority="354">
      <formula>$O10="OK"</formula>
    </cfRule>
  </conditionalFormatting>
  <conditionalFormatting sqref="K14">
    <cfRule type="expression" dxfId="787" priority="351">
      <formula>$O14="TÍTULO"</formula>
    </cfRule>
    <cfRule type="expression" dxfId="786" priority="352">
      <formula>$O14="OK"</formula>
    </cfRule>
  </conditionalFormatting>
  <conditionalFormatting sqref="D31:J31">
    <cfRule type="expression" dxfId="785" priority="349">
      <formula>$O31="TÍTULO"</formula>
    </cfRule>
    <cfRule type="expression" dxfId="784" priority="350">
      <formula>$O31="OK"</formula>
    </cfRule>
  </conditionalFormatting>
  <conditionalFormatting sqref="K31">
    <cfRule type="expression" dxfId="783" priority="345">
      <formula>$O31="TÍTULO"</formula>
    </cfRule>
    <cfRule type="expression" dxfId="782" priority="346">
      <formula>$O31="OK"</formula>
    </cfRule>
  </conditionalFormatting>
  <conditionalFormatting sqref="A18">
    <cfRule type="expression" dxfId="781" priority="19">
      <formula>$O18="TÍTULO"</formula>
    </cfRule>
    <cfRule type="expression" dxfId="780" priority="20">
      <formula>$O18="OK"</formula>
    </cfRule>
  </conditionalFormatting>
  <conditionalFormatting sqref="D18:J18">
    <cfRule type="expression" dxfId="779" priority="17">
      <formula>$O18="TÍTULO"</formula>
    </cfRule>
    <cfRule type="expression" dxfId="778" priority="18">
      <formula>$O18="OK"</formula>
    </cfRule>
  </conditionalFormatting>
  <conditionalFormatting sqref="K18">
    <cfRule type="expression" dxfId="777" priority="15">
      <formula>$O18="TÍTULO"</formula>
    </cfRule>
    <cfRule type="expression" dxfId="776" priority="16">
      <formula>$O18="OK"</formula>
    </cfRule>
  </conditionalFormatting>
  <conditionalFormatting sqref="A32:C32">
    <cfRule type="expression" dxfId="775" priority="11">
      <formula>$O32="TÍTULO"</formula>
    </cfRule>
    <cfRule type="expression" dxfId="774" priority="12">
      <formula>$O32="OK"</formula>
    </cfRule>
  </conditionalFormatting>
  <conditionalFormatting sqref="D32:J32">
    <cfRule type="expression" dxfId="773" priority="9">
      <formula>$O32="TÍTULO"</formula>
    </cfRule>
    <cfRule type="expression" dxfId="772" priority="10">
      <formula>$O32="OK"</formula>
    </cfRule>
  </conditionalFormatting>
  <conditionalFormatting sqref="K32">
    <cfRule type="expression" dxfId="771" priority="7">
      <formula>$O32="TÍTULO"</formula>
    </cfRule>
    <cfRule type="expression" dxfId="770" priority="8">
      <formula>$O32="OK"</formula>
    </cfRule>
  </conditionalFormatting>
  <conditionalFormatting sqref="A36:C36">
    <cfRule type="expression" dxfId="769" priority="5">
      <formula>$O36="TÍTULO"</formula>
    </cfRule>
    <cfRule type="expression" dxfId="768" priority="6">
      <formula>$O36="OK"</formula>
    </cfRule>
  </conditionalFormatting>
  <conditionalFormatting sqref="D36:J36">
    <cfRule type="expression" dxfId="767" priority="3">
      <formula>$O36="TÍTULO"</formula>
    </cfRule>
    <cfRule type="expression" dxfId="766" priority="4">
      <formula>$O36="OK"</formula>
    </cfRule>
  </conditionalFormatting>
  <conditionalFormatting sqref="K36">
    <cfRule type="expression" dxfId="765" priority="1">
      <formula>$O36="TÍTULO"</formula>
    </cfRule>
    <cfRule type="expression" dxfId="764" priority="2">
      <formula>$O36="OK"</formula>
    </cfRule>
  </conditionalFormatting>
  <printOptions horizontalCentered="1"/>
  <pageMargins left="0.74803149606299213" right="0.35433070866141736" top="0.98425196850393704" bottom="0.78740157480314965" header="0.51181102362204722" footer="0.35433070866141736"/>
  <pageSetup paperSize="9" scale="35" fitToHeight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252"/>
  <sheetViews>
    <sheetView workbookViewId="0"/>
  </sheetViews>
  <sheetFormatPr defaultRowHeight="15"/>
  <cols>
    <col min="1" max="1" width="6.28515625" style="4" customWidth="1"/>
    <col min="2" max="2" width="39.7109375" style="4" customWidth="1"/>
    <col min="3" max="3" width="12.5703125" style="415" customWidth="1"/>
    <col min="4" max="4" width="13.5703125" style="415" customWidth="1"/>
    <col min="5" max="5" width="15" style="415" customWidth="1"/>
    <col min="6" max="6" width="17.85546875" style="4" customWidth="1"/>
    <col min="7" max="7" width="14.85546875" style="4" customWidth="1"/>
    <col min="8" max="8" width="9.140625" style="4"/>
    <col min="9" max="9" width="83.42578125" style="4" customWidth="1"/>
    <col min="10" max="13" width="9.140625" style="4"/>
    <col min="14" max="14" width="34" style="4" customWidth="1"/>
    <col min="15" max="16384" width="9.140625" style="4"/>
  </cols>
  <sheetData>
    <row r="1" spans="2:11" ht="15.75" thickBot="1">
      <c r="B1" s="192" t="s">
        <v>198</v>
      </c>
      <c r="K1" s="4" t="s">
        <v>199</v>
      </c>
    </row>
    <row r="2" spans="2:11" ht="15.75" thickBot="1">
      <c r="B2" s="193" t="s">
        <v>200</v>
      </c>
      <c r="C2" s="194" t="s">
        <v>201</v>
      </c>
      <c r="D2" s="195" t="s">
        <v>55</v>
      </c>
      <c r="E2" s="194" t="s">
        <v>201</v>
      </c>
      <c r="F2" s="196" t="s">
        <v>202</v>
      </c>
      <c r="G2" s="195" t="s">
        <v>203</v>
      </c>
      <c r="H2" s="194" t="s">
        <v>201</v>
      </c>
      <c r="I2" s="195" t="s">
        <v>181</v>
      </c>
    </row>
    <row r="3" spans="2:11" ht="22.5" thickTop="1" thickBot="1">
      <c r="B3" s="197" t="s">
        <v>117</v>
      </c>
      <c r="C3" s="198">
        <v>1</v>
      </c>
      <c r="D3" s="199" t="s">
        <v>204</v>
      </c>
      <c r="E3" s="198">
        <v>1</v>
      </c>
      <c r="F3" s="200" t="s">
        <v>205</v>
      </c>
      <c r="G3" s="199">
        <v>1.8</v>
      </c>
      <c r="H3" s="198">
        <v>3</v>
      </c>
      <c r="I3" s="199" t="s">
        <v>206</v>
      </c>
    </row>
    <row r="4" spans="2:11" ht="21.75" thickBot="1">
      <c r="B4" s="201" t="s">
        <v>207</v>
      </c>
      <c r="C4" s="423">
        <v>1</v>
      </c>
      <c r="D4" s="203" t="s">
        <v>204</v>
      </c>
      <c r="E4" s="424">
        <v>41700</v>
      </c>
      <c r="F4" s="205" t="s">
        <v>208</v>
      </c>
      <c r="G4" s="203">
        <v>1.6</v>
      </c>
      <c r="H4" s="202">
        <v>4</v>
      </c>
      <c r="I4" s="203" t="s">
        <v>209</v>
      </c>
    </row>
    <row r="5" spans="2:11" ht="32.25" thickBot="1">
      <c r="B5" s="201" t="s">
        <v>183</v>
      </c>
      <c r="C5" s="198">
        <v>1</v>
      </c>
      <c r="D5" s="199" t="s">
        <v>210</v>
      </c>
      <c r="E5" s="198">
        <v>11</v>
      </c>
      <c r="F5" s="200" t="s">
        <v>211</v>
      </c>
      <c r="G5" s="199" t="s">
        <v>212</v>
      </c>
      <c r="H5" s="198">
        <v>5</v>
      </c>
      <c r="I5" s="199" t="s">
        <v>213</v>
      </c>
    </row>
    <row r="6" spans="2:11" ht="21.75" thickBot="1">
      <c r="B6" s="201" t="s">
        <v>120</v>
      </c>
      <c r="C6" s="423">
        <v>11</v>
      </c>
      <c r="D6" s="203" t="s">
        <v>214</v>
      </c>
      <c r="E6" s="423">
        <v>6</v>
      </c>
      <c r="F6" s="205" t="s">
        <v>268</v>
      </c>
      <c r="G6" s="210">
        <v>1.8</v>
      </c>
      <c r="H6" s="204">
        <v>41671</v>
      </c>
      <c r="I6" s="203" t="s">
        <v>215</v>
      </c>
    </row>
    <row r="7" spans="2:11" ht="32.25" thickBot="1">
      <c r="B7" s="201" t="s">
        <v>216</v>
      </c>
      <c r="C7" s="198">
        <v>11</v>
      </c>
      <c r="D7" s="199" t="s">
        <v>217</v>
      </c>
      <c r="E7" s="198">
        <v>11</v>
      </c>
      <c r="F7" s="200" t="s">
        <v>211</v>
      </c>
      <c r="G7" s="199" t="s">
        <v>212</v>
      </c>
      <c r="H7" s="198">
        <v>5</v>
      </c>
      <c r="I7" s="199" t="s">
        <v>213</v>
      </c>
    </row>
    <row r="8" spans="2:11" ht="21.75" thickBot="1">
      <c r="B8" s="201" t="s">
        <v>119</v>
      </c>
      <c r="C8" s="423">
        <v>1</v>
      </c>
      <c r="D8" s="203" t="s">
        <v>204</v>
      </c>
      <c r="E8" s="423">
        <v>6</v>
      </c>
      <c r="F8" s="205" t="s">
        <v>266</v>
      </c>
      <c r="G8" s="210">
        <v>1.8</v>
      </c>
      <c r="H8" s="204">
        <v>41671</v>
      </c>
      <c r="I8" s="203" t="s">
        <v>215</v>
      </c>
    </row>
    <row r="9" spans="2:11" ht="32.25" thickBot="1">
      <c r="B9" s="201" t="s">
        <v>177</v>
      </c>
      <c r="C9" s="198">
        <v>1</v>
      </c>
      <c r="D9" s="199" t="s">
        <v>204</v>
      </c>
      <c r="E9" s="198">
        <v>16</v>
      </c>
      <c r="F9" s="200" t="s">
        <v>218</v>
      </c>
      <c r="G9" s="199" t="s">
        <v>212</v>
      </c>
      <c r="H9" s="198">
        <v>4</v>
      </c>
      <c r="I9" s="199" t="s">
        <v>219</v>
      </c>
    </row>
    <row r="10" spans="2:11" ht="21.75" thickBot="1">
      <c r="B10" s="201" t="s">
        <v>220</v>
      </c>
      <c r="C10" s="423">
        <v>1</v>
      </c>
      <c r="D10" s="203" t="s">
        <v>204</v>
      </c>
      <c r="E10" s="423">
        <v>6</v>
      </c>
      <c r="F10" s="205" t="s">
        <v>266</v>
      </c>
      <c r="G10" s="210">
        <v>1.8</v>
      </c>
      <c r="H10" s="204">
        <v>41671</v>
      </c>
      <c r="I10" s="203" t="s">
        <v>221</v>
      </c>
    </row>
    <row r="11" spans="2:11" ht="21.75" thickBot="1">
      <c r="B11" s="201" t="s">
        <v>222</v>
      </c>
      <c r="C11" s="198">
        <v>1</v>
      </c>
      <c r="D11" s="199" t="s">
        <v>204</v>
      </c>
      <c r="E11" s="198">
        <v>6</v>
      </c>
      <c r="F11" s="200" t="s">
        <v>267</v>
      </c>
      <c r="G11" s="231">
        <v>1.8</v>
      </c>
      <c r="H11" s="206">
        <v>41671</v>
      </c>
      <c r="I11" s="199" t="s">
        <v>221</v>
      </c>
    </row>
    <row r="12" spans="2:11" ht="42.75" thickBot="1">
      <c r="B12" s="201" t="s">
        <v>193</v>
      </c>
      <c r="C12" s="816">
        <v>1</v>
      </c>
      <c r="D12" s="818" t="s">
        <v>204</v>
      </c>
      <c r="E12" s="207" t="s">
        <v>223</v>
      </c>
      <c r="F12" s="208" t="s">
        <v>224</v>
      </c>
      <c r="G12" s="209">
        <v>1.6</v>
      </c>
      <c r="H12" s="820">
        <v>41671</v>
      </c>
      <c r="I12" s="822" t="s">
        <v>225</v>
      </c>
    </row>
    <row r="13" spans="2:11" ht="42.75" thickBot="1">
      <c r="B13" s="201" t="s">
        <v>193</v>
      </c>
      <c r="C13" s="817"/>
      <c r="D13" s="819"/>
      <c r="E13" s="423" t="s">
        <v>226</v>
      </c>
      <c r="F13" s="205" t="s">
        <v>227</v>
      </c>
      <c r="G13" s="203">
        <v>1.8</v>
      </c>
      <c r="H13" s="821"/>
      <c r="I13" s="823"/>
    </row>
    <row r="14" spans="2:11" ht="21.75" thickBot="1">
      <c r="B14" s="201" t="s">
        <v>173</v>
      </c>
      <c r="C14" s="198">
        <v>1</v>
      </c>
      <c r="D14" s="199" t="s">
        <v>204</v>
      </c>
      <c r="E14" s="198">
        <v>13</v>
      </c>
      <c r="F14" s="200" t="s">
        <v>228</v>
      </c>
      <c r="G14" s="199">
        <v>1.6</v>
      </c>
      <c r="H14" s="206">
        <v>41671</v>
      </c>
      <c r="I14" s="199" t="s">
        <v>225</v>
      </c>
    </row>
    <row r="15" spans="2:11" ht="21.75" thickBot="1">
      <c r="B15" s="201" t="s">
        <v>229</v>
      </c>
      <c r="C15" s="423">
        <v>1</v>
      </c>
      <c r="D15" s="203" t="s">
        <v>204</v>
      </c>
      <c r="E15" s="423">
        <v>13</v>
      </c>
      <c r="F15" s="205" t="s">
        <v>228</v>
      </c>
      <c r="G15" s="203">
        <v>1.6</v>
      </c>
      <c r="H15" s="204">
        <v>41671</v>
      </c>
      <c r="I15" s="203" t="s">
        <v>225</v>
      </c>
    </row>
    <row r="16" spans="2:11" ht="21.75" thickBot="1">
      <c r="B16" s="201" t="s">
        <v>108</v>
      </c>
      <c r="C16" s="198">
        <v>1</v>
      </c>
      <c r="D16" s="199" t="s">
        <v>204</v>
      </c>
      <c r="E16" s="198">
        <v>13</v>
      </c>
      <c r="F16" s="200" t="s">
        <v>228</v>
      </c>
      <c r="G16" s="199">
        <v>1.6</v>
      </c>
      <c r="H16" s="206">
        <v>41671</v>
      </c>
      <c r="I16" s="199" t="s">
        <v>225</v>
      </c>
    </row>
    <row r="17" spans="2:9" ht="21.75" thickBot="1">
      <c r="B17" s="201" t="s">
        <v>107</v>
      </c>
      <c r="C17" s="423">
        <v>1</v>
      </c>
      <c r="D17" s="203" t="s">
        <v>204</v>
      </c>
      <c r="E17" s="423">
        <v>13</v>
      </c>
      <c r="F17" s="205" t="s">
        <v>228</v>
      </c>
      <c r="G17" s="203">
        <v>1.6</v>
      </c>
      <c r="H17" s="204">
        <v>41671</v>
      </c>
      <c r="I17" s="203" t="s">
        <v>225</v>
      </c>
    </row>
    <row r="18" spans="2:9" ht="32.25" thickBot="1">
      <c r="B18" s="201" t="s">
        <v>106</v>
      </c>
      <c r="C18" s="198">
        <v>1</v>
      </c>
      <c r="D18" s="199" t="s">
        <v>210</v>
      </c>
      <c r="E18" s="198">
        <v>16</v>
      </c>
      <c r="F18" s="200" t="s">
        <v>218</v>
      </c>
      <c r="G18" s="199" t="s">
        <v>212</v>
      </c>
      <c r="H18" s="198"/>
      <c r="I18" s="199" t="s">
        <v>230</v>
      </c>
    </row>
    <row r="19" spans="2:9" ht="32.25" thickBot="1">
      <c r="B19" s="201" t="s">
        <v>194</v>
      </c>
      <c r="C19" s="423">
        <v>1</v>
      </c>
      <c r="D19" s="203" t="s">
        <v>210</v>
      </c>
      <c r="E19" s="423">
        <v>16</v>
      </c>
      <c r="F19" s="205" t="s">
        <v>218</v>
      </c>
      <c r="G19" s="203" t="s">
        <v>212</v>
      </c>
      <c r="H19" s="202"/>
      <c r="I19" s="203" t="s">
        <v>230</v>
      </c>
    </row>
    <row r="20" spans="2:9" ht="21.75" thickBot="1">
      <c r="B20" s="201" t="s">
        <v>118</v>
      </c>
      <c r="C20" s="198">
        <v>4</v>
      </c>
      <c r="D20" s="199" t="s">
        <v>231</v>
      </c>
      <c r="E20" s="198">
        <v>8</v>
      </c>
      <c r="F20" s="200" t="s">
        <v>232</v>
      </c>
      <c r="G20" s="199" t="s">
        <v>212</v>
      </c>
      <c r="H20" s="206">
        <v>41671</v>
      </c>
      <c r="I20" s="199" t="s">
        <v>225</v>
      </c>
    </row>
    <row r="21" spans="2:9" ht="21.75" thickBot="1">
      <c r="B21" s="201" t="s">
        <v>178</v>
      </c>
      <c r="C21" s="423">
        <v>4</v>
      </c>
      <c r="D21" s="203" t="s">
        <v>231</v>
      </c>
      <c r="E21" s="423">
        <v>8</v>
      </c>
      <c r="F21" s="205" t="s">
        <v>232</v>
      </c>
      <c r="G21" s="203" t="s">
        <v>212</v>
      </c>
      <c r="H21" s="204">
        <v>41671</v>
      </c>
      <c r="I21" s="203" t="s">
        <v>225</v>
      </c>
    </row>
    <row r="22" spans="2:9" ht="21.75" thickBot="1">
      <c r="B22" s="201" t="s">
        <v>192</v>
      </c>
      <c r="C22" s="198">
        <v>4</v>
      </c>
      <c r="D22" s="199" t="s">
        <v>231</v>
      </c>
      <c r="E22" s="198">
        <v>8</v>
      </c>
      <c r="F22" s="200" t="s">
        <v>232</v>
      </c>
      <c r="G22" s="199" t="s">
        <v>212</v>
      </c>
      <c r="H22" s="206">
        <v>41671</v>
      </c>
      <c r="I22" s="199" t="s">
        <v>225</v>
      </c>
    </row>
    <row r="23" spans="2:9" ht="21.75" thickBot="1">
      <c r="B23" s="201" t="s">
        <v>180</v>
      </c>
      <c r="C23" s="423">
        <v>4</v>
      </c>
      <c r="D23" s="203" t="s">
        <v>231</v>
      </c>
      <c r="E23" s="423">
        <v>8</v>
      </c>
      <c r="F23" s="205" t="s">
        <v>232</v>
      </c>
      <c r="G23" s="203" t="s">
        <v>212</v>
      </c>
      <c r="H23" s="204">
        <v>41671</v>
      </c>
      <c r="I23" s="203" t="s">
        <v>225</v>
      </c>
    </row>
    <row r="24" spans="2:9" ht="21.75" thickBot="1">
      <c r="B24" s="201" t="s">
        <v>182</v>
      </c>
      <c r="C24" s="198">
        <v>1</v>
      </c>
      <c r="D24" s="199" t="s">
        <v>210</v>
      </c>
      <c r="E24" s="198">
        <v>6</v>
      </c>
      <c r="F24" s="200" t="s">
        <v>267</v>
      </c>
      <c r="G24" s="231">
        <v>1.8</v>
      </c>
      <c r="H24" s="198">
        <v>4</v>
      </c>
      <c r="I24" s="199" t="s">
        <v>219</v>
      </c>
    </row>
    <row r="25" spans="2:9" ht="21.75" thickBot="1">
      <c r="B25" s="201" t="s">
        <v>233</v>
      </c>
      <c r="C25" s="423">
        <v>1</v>
      </c>
      <c r="D25" s="203" t="s">
        <v>210</v>
      </c>
      <c r="E25" s="423">
        <v>7</v>
      </c>
      <c r="F25" s="205" t="s">
        <v>234</v>
      </c>
      <c r="G25" s="210" t="s">
        <v>235</v>
      </c>
      <c r="H25" s="204">
        <v>41671</v>
      </c>
      <c r="I25" s="203" t="s">
        <v>225</v>
      </c>
    </row>
    <row r="26" spans="2:9" ht="32.25" thickBot="1">
      <c r="B26" s="201" t="s">
        <v>236</v>
      </c>
      <c r="C26" s="198">
        <v>12</v>
      </c>
      <c r="D26" s="199" t="s">
        <v>237</v>
      </c>
      <c r="E26" s="198">
        <v>16</v>
      </c>
      <c r="F26" s="200" t="s">
        <v>218</v>
      </c>
      <c r="G26" s="199" t="s">
        <v>212</v>
      </c>
      <c r="H26" s="206">
        <v>41671</v>
      </c>
      <c r="I26" s="199" t="s">
        <v>225</v>
      </c>
    </row>
    <row r="27" spans="2:9" ht="32.25" thickBot="1">
      <c r="B27" s="201" t="s">
        <v>172</v>
      </c>
      <c r="C27" s="423">
        <v>12</v>
      </c>
      <c r="D27" s="203" t="s">
        <v>237</v>
      </c>
      <c r="E27" s="423">
        <v>16</v>
      </c>
      <c r="F27" s="205" t="s">
        <v>218</v>
      </c>
      <c r="G27" s="203" t="s">
        <v>212</v>
      </c>
      <c r="H27" s="204">
        <v>41671</v>
      </c>
      <c r="I27" s="203" t="s">
        <v>225</v>
      </c>
    </row>
    <row r="28" spans="2:9" ht="42.75" thickBot="1">
      <c r="B28" s="201" t="s">
        <v>238</v>
      </c>
      <c r="C28" s="198">
        <v>3</v>
      </c>
      <c r="D28" s="199" t="s">
        <v>239</v>
      </c>
      <c r="E28" s="198">
        <v>5</v>
      </c>
      <c r="F28" s="200" t="s">
        <v>240</v>
      </c>
      <c r="G28" s="199" t="s">
        <v>212</v>
      </c>
      <c r="H28" s="211">
        <v>38018</v>
      </c>
      <c r="I28" s="199" t="s">
        <v>241</v>
      </c>
    </row>
    <row r="29" spans="2:9" ht="42.75" thickBot="1">
      <c r="B29" s="201" t="s">
        <v>242</v>
      </c>
      <c r="C29" s="423">
        <v>3</v>
      </c>
      <c r="D29" s="203" t="s">
        <v>243</v>
      </c>
      <c r="E29" s="423">
        <v>4</v>
      </c>
      <c r="F29" s="205" t="s">
        <v>244</v>
      </c>
      <c r="G29" s="203" t="s">
        <v>212</v>
      </c>
      <c r="H29" s="212">
        <v>38018</v>
      </c>
      <c r="I29" s="203" t="s">
        <v>241</v>
      </c>
    </row>
    <row r="30" spans="2:9" ht="42.75" thickBot="1">
      <c r="B30" s="201" t="s">
        <v>245</v>
      </c>
      <c r="C30" s="198">
        <v>3</v>
      </c>
      <c r="D30" s="199" t="s">
        <v>239</v>
      </c>
      <c r="E30" s="198">
        <v>5</v>
      </c>
      <c r="F30" s="200" t="s">
        <v>240</v>
      </c>
      <c r="G30" s="199" t="s">
        <v>212</v>
      </c>
      <c r="H30" s="211">
        <v>38018</v>
      </c>
      <c r="I30" s="199" t="s">
        <v>241</v>
      </c>
    </row>
    <row r="31" spans="2:9" ht="42.75" thickBot="1">
      <c r="B31" s="201" t="s">
        <v>246</v>
      </c>
      <c r="C31" s="423">
        <v>3</v>
      </c>
      <c r="D31" s="203" t="s">
        <v>243</v>
      </c>
      <c r="E31" s="423">
        <v>4</v>
      </c>
      <c r="F31" s="205" t="s">
        <v>244</v>
      </c>
      <c r="G31" s="203" t="s">
        <v>212</v>
      </c>
      <c r="H31" s="212">
        <v>38018</v>
      </c>
      <c r="I31" s="203" t="s">
        <v>241</v>
      </c>
    </row>
    <row r="32" spans="2:9" ht="42.75" thickBot="1">
      <c r="B32" s="201" t="s">
        <v>247</v>
      </c>
      <c r="C32" s="198">
        <v>3</v>
      </c>
      <c r="D32" s="199" t="s">
        <v>239</v>
      </c>
      <c r="E32" s="198">
        <v>5</v>
      </c>
      <c r="F32" s="200" t="s">
        <v>240</v>
      </c>
      <c r="G32" s="199" t="s">
        <v>212</v>
      </c>
      <c r="H32" s="211">
        <v>38018</v>
      </c>
      <c r="I32" s="199" t="s">
        <v>241</v>
      </c>
    </row>
    <row r="33" spans="2:9" ht="21.75" thickBot="1">
      <c r="B33" s="213" t="s">
        <v>122</v>
      </c>
      <c r="C33" s="214"/>
      <c r="D33" s="215"/>
      <c r="E33" s="214"/>
      <c r="F33" s="216" t="s">
        <v>234</v>
      </c>
      <c r="G33" s="217" t="s">
        <v>235</v>
      </c>
      <c r="H33" s="218"/>
      <c r="I33" s="215"/>
    </row>
    <row r="34" spans="2:9" ht="21.75" thickBot="1">
      <c r="B34" s="213" t="s">
        <v>184</v>
      </c>
      <c r="C34" s="214"/>
      <c r="D34" s="215"/>
      <c r="E34" s="214"/>
      <c r="F34" s="216" t="s">
        <v>234</v>
      </c>
      <c r="G34" s="217" t="s">
        <v>235</v>
      </c>
      <c r="H34" s="218"/>
      <c r="I34" s="215"/>
    </row>
    <row r="35" spans="2:9" ht="42.75" thickBot="1">
      <c r="B35" s="219" t="s">
        <v>248</v>
      </c>
      <c r="C35" s="220">
        <v>3</v>
      </c>
      <c r="D35" s="221" t="s">
        <v>239</v>
      </c>
      <c r="E35" s="220">
        <v>8</v>
      </c>
      <c r="F35" s="222" t="s">
        <v>232</v>
      </c>
      <c r="G35" s="221" t="s">
        <v>212</v>
      </c>
      <c r="H35" s="223">
        <v>38018</v>
      </c>
      <c r="I35" s="221" t="s">
        <v>241</v>
      </c>
    </row>
    <row r="39" spans="2:9" ht="15.75" thickBot="1"/>
    <row r="40" spans="2:9" ht="15.75" thickBot="1">
      <c r="B40" s="4" t="s">
        <v>186</v>
      </c>
      <c r="D40" s="194" t="s">
        <v>201</v>
      </c>
      <c r="E40" s="195" t="s">
        <v>202</v>
      </c>
      <c r="F40" s="194" t="s">
        <v>201</v>
      </c>
      <c r="G40" s="195" t="s">
        <v>55</v>
      </c>
      <c r="H40" s="194" t="s">
        <v>201</v>
      </c>
      <c r="I40" s="195" t="s">
        <v>181</v>
      </c>
    </row>
    <row r="41" spans="2:9" ht="15.75" thickTop="1">
      <c r="D41" s="432">
        <v>1</v>
      </c>
      <c r="E41" s="442" t="s">
        <v>187</v>
      </c>
      <c r="F41" s="224">
        <v>1</v>
      </c>
      <c r="G41" s="225" t="s">
        <v>249</v>
      </c>
      <c r="H41" s="224">
        <v>1</v>
      </c>
      <c r="I41" s="226" t="s">
        <v>312</v>
      </c>
    </row>
    <row r="42" spans="2:9" ht="45">
      <c r="D42" s="432">
        <v>2</v>
      </c>
      <c r="E42" s="442" t="s">
        <v>319</v>
      </c>
      <c r="F42" s="224">
        <v>2</v>
      </c>
      <c r="G42" s="225" t="s">
        <v>250</v>
      </c>
      <c r="H42" s="224">
        <v>2</v>
      </c>
      <c r="I42" s="226" t="s">
        <v>313</v>
      </c>
    </row>
    <row r="43" spans="2:9" ht="45">
      <c r="D43" s="432">
        <v>3</v>
      </c>
      <c r="E43" s="442" t="s">
        <v>380</v>
      </c>
      <c r="F43" s="224">
        <v>3</v>
      </c>
      <c r="G43" s="225" t="s">
        <v>251</v>
      </c>
      <c r="H43" s="224">
        <v>3</v>
      </c>
      <c r="I43" s="226" t="s">
        <v>314</v>
      </c>
    </row>
    <row r="44" spans="2:9" ht="30">
      <c r="D44" s="432">
        <v>4</v>
      </c>
      <c r="E44" s="442" t="s">
        <v>57</v>
      </c>
      <c r="F44" s="224">
        <v>4</v>
      </c>
      <c r="G44" s="225" t="s">
        <v>252</v>
      </c>
      <c r="H44" s="224">
        <v>4</v>
      </c>
      <c r="I44" s="226" t="s">
        <v>315</v>
      </c>
    </row>
    <row r="45" spans="2:9" ht="120">
      <c r="D45" s="432">
        <v>5</v>
      </c>
      <c r="E45" s="442" t="s">
        <v>253</v>
      </c>
      <c r="F45" s="224">
        <v>5</v>
      </c>
      <c r="G45" s="225" t="s">
        <v>254</v>
      </c>
      <c r="H45" s="224" t="s">
        <v>49</v>
      </c>
      <c r="I45" s="226" t="s">
        <v>316</v>
      </c>
    </row>
    <row r="46" spans="2:9" ht="60">
      <c r="D46" s="432"/>
      <c r="E46" s="442"/>
      <c r="F46" s="224">
        <v>6</v>
      </c>
      <c r="G46" s="225" t="s">
        <v>255</v>
      </c>
      <c r="H46" s="224"/>
      <c r="I46" s="226"/>
    </row>
    <row r="47" spans="2:9" ht="30.75" thickBot="1">
      <c r="D47" s="433"/>
      <c r="E47" s="443"/>
      <c r="F47" s="227">
        <v>7</v>
      </c>
      <c r="G47" s="228" t="s">
        <v>381</v>
      </c>
      <c r="H47" s="224"/>
      <c r="I47" s="229"/>
    </row>
    <row r="50" spans="2:9">
      <c r="B50" s="233" t="s">
        <v>269</v>
      </c>
      <c r="C50" s="425"/>
      <c r="D50" s="425"/>
      <c r="E50" s="425"/>
      <c r="F50" s="191"/>
      <c r="G50" s="233" t="s">
        <v>270</v>
      </c>
      <c r="H50" s="234"/>
      <c r="I50" s="234"/>
    </row>
    <row r="52" spans="2:9">
      <c r="B52" s="416" t="s">
        <v>271</v>
      </c>
      <c r="C52" s="434"/>
      <c r="D52" s="434"/>
      <c r="E52" s="496"/>
      <c r="G52" s="235" t="s">
        <v>272</v>
      </c>
      <c r="H52" s="235"/>
      <c r="I52" s="235"/>
    </row>
    <row r="53" spans="2:9">
      <c r="B53" s="417" t="s">
        <v>197</v>
      </c>
      <c r="C53" s="435" t="s">
        <v>196</v>
      </c>
      <c r="D53" s="435" t="s">
        <v>260</v>
      </c>
      <c r="E53" s="435" t="s">
        <v>273</v>
      </c>
      <c r="G53" s="232" t="s">
        <v>197</v>
      </c>
      <c r="H53" s="232" t="s">
        <v>274</v>
      </c>
      <c r="I53" s="232" t="s">
        <v>275</v>
      </c>
    </row>
    <row r="54" spans="2:9">
      <c r="B54" s="494" t="s">
        <v>685</v>
      </c>
      <c r="C54" s="495">
        <v>1.9</v>
      </c>
      <c r="D54" s="495">
        <v>0.5</v>
      </c>
      <c r="E54" s="495">
        <v>2.6</v>
      </c>
      <c r="G54" s="4" t="s">
        <v>276</v>
      </c>
      <c r="H54" s="1">
        <v>3</v>
      </c>
      <c r="I54" s="236"/>
    </row>
    <row r="55" spans="2:9">
      <c r="B55" s="494" t="s">
        <v>686</v>
      </c>
      <c r="C55" s="495">
        <v>1.2</v>
      </c>
      <c r="D55" s="495">
        <v>0.5</v>
      </c>
      <c r="E55" s="495">
        <v>2.6</v>
      </c>
      <c r="G55" s="4" t="s">
        <v>277</v>
      </c>
      <c r="H55" s="4">
        <v>3.54</v>
      </c>
      <c r="I55" s="236"/>
    </row>
    <row r="56" spans="2:9">
      <c r="B56" s="494" t="s">
        <v>687</v>
      </c>
      <c r="C56" s="495">
        <v>1.6</v>
      </c>
      <c r="D56" s="495">
        <v>1</v>
      </c>
      <c r="E56" s="495">
        <v>1.1000000000000001</v>
      </c>
      <c r="G56" s="4" t="s">
        <v>278</v>
      </c>
      <c r="H56" s="4">
        <v>4.38</v>
      </c>
      <c r="I56" s="236"/>
    </row>
    <row r="57" spans="2:9">
      <c r="B57" s="494" t="s">
        <v>688</v>
      </c>
      <c r="C57" s="495">
        <f>1.75+1.75+2.55</f>
        <v>6.05</v>
      </c>
      <c r="D57" s="495">
        <v>1.53</v>
      </c>
      <c r="E57" s="495">
        <v>0.75</v>
      </c>
      <c r="G57" s="4" t="s">
        <v>279</v>
      </c>
      <c r="H57" s="4">
        <v>2.1</v>
      </c>
      <c r="I57" s="236"/>
    </row>
    <row r="58" spans="2:9">
      <c r="B58" s="494" t="s">
        <v>689</v>
      </c>
      <c r="C58" s="495">
        <v>0.78</v>
      </c>
      <c r="D58" s="495">
        <v>0.43</v>
      </c>
      <c r="E58" s="495">
        <v>1.85</v>
      </c>
      <c r="G58" s="4" t="s">
        <v>280</v>
      </c>
      <c r="H58" s="1">
        <f>(H54+H56)/2</f>
        <v>3.69</v>
      </c>
      <c r="I58" s="236"/>
    </row>
    <row r="59" spans="2:9">
      <c r="B59" s="494" t="s">
        <v>690</v>
      </c>
      <c r="C59" s="495">
        <v>1.6</v>
      </c>
      <c r="D59" s="495">
        <v>0.5</v>
      </c>
      <c r="E59" s="495">
        <v>1.6</v>
      </c>
      <c r="G59" s="4" t="s">
        <v>281</v>
      </c>
      <c r="H59" s="1">
        <v>4.1500000000000004</v>
      </c>
      <c r="I59" s="236"/>
    </row>
    <row r="60" spans="2:9">
      <c r="B60" s="494" t="s">
        <v>691</v>
      </c>
      <c r="C60" s="495">
        <f>3.65+3.65+2.25+1.65</f>
        <v>11.200000000000001</v>
      </c>
      <c r="D60" s="495">
        <v>1</v>
      </c>
      <c r="E60" s="495">
        <v>1.1000000000000001</v>
      </c>
      <c r="G60" s="4" t="s">
        <v>282</v>
      </c>
      <c r="H60" s="1">
        <f>(H59+H55)/2</f>
        <v>3.8450000000000002</v>
      </c>
      <c r="I60" s="236"/>
    </row>
    <row r="61" spans="2:9">
      <c r="B61" s="494" t="s">
        <v>692</v>
      </c>
      <c r="C61" s="495">
        <f>2.65+1.75</f>
        <v>4.4000000000000004</v>
      </c>
      <c r="D61" s="495">
        <v>1</v>
      </c>
      <c r="E61" s="495">
        <v>1.1000000000000001</v>
      </c>
      <c r="G61" s="4">
        <v>8</v>
      </c>
      <c r="H61" s="1"/>
      <c r="I61" s="236"/>
    </row>
    <row r="62" spans="2:9">
      <c r="B62" s="494" t="s">
        <v>693</v>
      </c>
      <c r="C62" s="495">
        <v>0.9</v>
      </c>
      <c r="D62" s="495">
        <v>0.5</v>
      </c>
      <c r="E62" s="495">
        <v>1.6</v>
      </c>
      <c r="G62" s="4">
        <v>9</v>
      </c>
      <c r="I62" s="236"/>
    </row>
    <row r="63" spans="2:9">
      <c r="B63" s="494" t="s">
        <v>694</v>
      </c>
      <c r="C63" s="495">
        <v>1.2</v>
      </c>
      <c r="D63" s="495">
        <v>1</v>
      </c>
      <c r="E63" s="495">
        <v>1.1000000000000001</v>
      </c>
      <c r="G63" s="4">
        <v>10</v>
      </c>
      <c r="I63" s="236"/>
    </row>
    <row r="64" spans="2:9">
      <c r="B64" s="494" t="s">
        <v>695</v>
      </c>
      <c r="C64" s="495">
        <v>0.15</v>
      </c>
      <c r="D64" s="495">
        <v>0.5</v>
      </c>
      <c r="E64" s="495">
        <v>1.6</v>
      </c>
      <c r="I64" s="236"/>
    </row>
    <row r="65" spans="2:9">
      <c r="B65" s="494" t="s">
        <v>696</v>
      </c>
      <c r="C65" s="495">
        <v>1.25</v>
      </c>
      <c r="D65" s="495">
        <v>1</v>
      </c>
      <c r="E65" s="495">
        <v>1.1000000000000001</v>
      </c>
      <c r="I65" s="236"/>
    </row>
    <row r="66" spans="2:9">
      <c r="B66" s="494" t="s">
        <v>697</v>
      </c>
      <c r="C66" s="495">
        <v>1.6</v>
      </c>
      <c r="D66" s="495">
        <v>1</v>
      </c>
      <c r="E66" s="495">
        <v>1.1000000000000001</v>
      </c>
      <c r="I66" s="236"/>
    </row>
    <row r="67" spans="2:9">
      <c r="B67" s="494" t="s">
        <v>698</v>
      </c>
      <c r="C67" s="495">
        <v>1.8</v>
      </c>
      <c r="D67" s="495">
        <v>1</v>
      </c>
      <c r="E67" s="495">
        <v>1.1000000000000001</v>
      </c>
      <c r="I67" s="236"/>
    </row>
    <row r="68" spans="2:9">
      <c r="B68" s="494" t="s">
        <v>699</v>
      </c>
      <c r="C68" s="495">
        <v>1.47</v>
      </c>
      <c r="D68" s="495">
        <v>0.5</v>
      </c>
      <c r="E68" s="495">
        <v>1.6</v>
      </c>
      <c r="I68" s="236"/>
    </row>
    <row r="69" spans="2:9">
      <c r="B69" s="494" t="s">
        <v>700</v>
      </c>
      <c r="C69" s="495">
        <v>2</v>
      </c>
      <c r="D69" s="495">
        <v>1</v>
      </c>
      <c r="E69" s="495">
        <v>1.1000000000000001</v>
      </c>
      <c r="I69" s="236"/>
    </row>
    <row r="70" spans="2:9">
      <c r="B70" s="494" t="s">
        <v>701</v>
      </c>
      <c r="C70" s="495">
        <v>2.8</v>
      </c>
      <c r="D70" s="495">
        <v>1</v>
      </c>
      <c r="E70" s="495">
        <v>1.1000000000000001</v>
      </c>
      <c r="I70" s="236"/>
    </row>
    <row r="71" spans="2:9">
      <c r="B71" s="255"/>
      <c r="C71" s="237">
        <v>8.5</v>
      </c>
      <c r="D71" s="237">
        <v>2.8</v>
      </c>
      <c r="I71" s="236"/>
    </row>
    <row r="72" spans="2:9">
      <c r="B72" s="255" t="s">
        <v>626</v>
      </c>
      <c r="C72" s="237">
        <v>8.9</v>
      </c>
      <c r="D72" s="237">
        <v>1.2</v>
      </c>
      <c r="I72" s="236"/>
    </row>
    <row r="73" spans="2:9">
      <c r="B73" s="255" t="s">
        <v>627</v>
      </c>
      <c r="C73" s="237">
        <v>4.4000000000000004</v>
      </c>
      <c r="D73" s="237">
        <v>1</v>
      </c>
      <c r="I73" s="236"/>
    </row>
    <row r="74" spans="2:9">
      <c r="B74" s="255" t="s">
        <v>606</v>
      </c>
      <c r="C74" s="237">
        <v>1.5</v>
      </c>
      <c r="D74" s="237">
        <v>1.8</v>
      </c>
      <c r="I74" s="236"/>
    </row>
    <row r="75" spans="2:9">
      <c r="B75" s="255" t="s">
        <v>619</v>
      </c>
      <c r="C75" s="237">
        <v>1.1000000000000001</v>
      </c>
      <c r="D75" s="237">
        <v>2.2999999999999998</v>
      </c>
      <c r="I75" s="236"/>
    </row>
    <row r="76" spans="2:9">
      <c r="B76" s="255" t="s">
        <v>618</v>
      </c>
      <c r="C76" s="237">
        <v>1.61</v>
      </c>
      <c r="D76" s="237">
        <v>1.2</v>
      </c>
      <c r="I76" s="236"/>
    </row>
    <row r="77" spans="2:9">
      <c r="B77" s="255" t="s">
        <v>617</v>
      </c>
      <c r="C77" s="237">
        <v>7.66</v>
      </c>
      <c r="D77" s="237">
        <v>1.2</v>
      </c>
      <c r="I77" s="236"/>
    </row>
    <row r="78" spans="2:9">
      <c r="B78" s="255" t="s">
        <v>616</v>
      </c>
      <c r="C78" s="237">
        <v>3.5</v>
      </c>
      <c r="D78" s="237">
        <v>1.8</v>
      </c>
      <c r="I78" s="236"/>
    </row>
    <row r="79" spans="2:9">
      <c r="B79" s="255" t="s">
        <v>639</v>
      </c>
      <c r="C79" s="237">
        <v>1.22</v>
      </c>
      <c r="D79" s="237">
        <v>1.8</v>
      </c>
      <c r="G79" s="4">
        <v>11</v>
      </c>
      <c r="I79" s="236"/>
    </row>
    <row r="80" spans="2:9">
      <c r="B80" s="255" t="s">
        <v>624</v>
      </c>
      <c r="C80" s="237">
        <v>7.3</v>
      </c>
      <c r="D80" s="237">
        <v>1.2</v>
      </c>
      <c r="G80" s="4">
        <v>11</v>
      </c>
      <c r="I80" s="236"/>
    </row>
    <row r="81" spans="2:9">
      <c r="B81" s="255" t="s">
        <v>607</v>
      </c>
      <c r="C81" s="237">
        <v>1.5</v>
      </c>
      <c r="D81" s="237">
        <v>1.5</v>
      </c>
      <c r="G81" s="4">
        <v>11</v>
      </c>
      <c r="I81" s="236"/>
    </row>
    <row r="82" spans="2:9">
      <c r="B82" s="255" t="s">
        <v>622</v>
      </c>
      <c r="C82" s="237">
        <v>2</v>
      </c>
      <c r="D82" s="237">
        <v>1.2</v>
      </c>
      <c r="G82" s="4">
        <v>12</v>
      </c>
      <c r="I82" s="236"/>
    </row>
    <row r="83" spans="2:9">
      <c r="B83" s="255" t="s">
        <v>615</v>
      </c>
      <c r="C83" s="237">
        <v>2</v>
      </c>
      <c r="D83" s="237">
        <v>1.8</v>
      </c>
      <c r="G83" s="4">
        <v>13</v>
      </c>
      <c r="I83" s="236"/>
    </row>
    <row r="84" spans="2:9">
      <c r="B84" s="255" t="s">
        <v>614</v>
      </c>
      <c r="C84" s="237">
        <v>1.5</v>
      </c>
      <c r="D84" s="237">
        <v>1.2</v>
      </c>
      <c r="G84" s="4">
        <v>14</v>
      </c>
      <c r="I84" s="236"/>
    </row>
    <row r="85" spans="2:9">
      <c r="B85" s="255" t="s">
        <v>623</v>
      </c>
      <c r="C85" s="237">
        <v>2.5</v>
      </c>
      <c r="D85" s="237">
        <v>1.2</v>
      </c>
      <c r="G85" s="4">
        <v>15</v>
      </c>
      <c r="I85" s="236"/>
    </row>
    <row r="86" spans="2:9">
      <c r="B86" s="255" t="s">
        <v>640</v>
      </c>
      <c r="C86" s="237">
        <v>1.88</v>
      </c>
      <c r="D86" s="237">
        <v>1.2</v>
      </c>
      <c r="G86" s="4">
        <v>16</v>
      </c>
      <c r="I86" s="236"/>
    </row>
    <row r="87" spans="2:9">
      <c r="B87" s="255" t="s">
        <v>629</v>
      </c>
      <c r="C87" s="237">
        <v>0.5</v>
      </c>
      <c r="D87" s="237">
        <v>1.5</v>
      </c>
      <c r="G87" s="4">
        <v>17</v>
      </c>
      <c r="I87" s="236"/>
    </row>
    <row r="88" spans="2:9">
      <c r="B88" s="255" t="s">
        <v>621</v>
      </c>
      <c r="C88" s="237">
        <v>3.5</v>
      </c>
      <c r="D88" s="237">
        <v>1.2</v>
      </c>
      <c r="G88" s="4">
        <v>18</v>
      </c>
      <c r="I88" s="236"/>
    </row>
    <row r="89" spans="2:9">
      <c r="B89" s="255" t="s">
        <v>256</v>
      </c>
      <c r="C89" s="237"/>
      <c r="D89" s="237"/>
      <c r="G89" s="4">
        <v>19</v>
      </c>
      <c r="I89" s="236"/>
    </row>
    <row r="90" spans="2:9">
      <c r="B90" s="255" t="s">
        <v>261</v>
      </c>
      <c r="C90" s="237"/>
      <c r="D90" s="237"/>
      <c r="G90" s="4">
        <v>20</v>
      </c>
      <c r="I90" s="236"/>
    </row>
    <row r="91" spans="2:9">
      <c r="B91" s="255" t="s">
        <v>262</v>
      </c>
      <c r="C91" s="237"/>
      <c r="D91" s="237"/>
      <c r="E91" s="414"/>
      <c r="G91" s="4">
        <v>21</v>
      </c>
      <c r="I91" s="236"/>
    </row>
    <row r="92" spans="2:9">
      <c r="B92" s="255"/>
      <c r="C92" s="418"/>
      <c r="D92" s="237"/>
      <c r="E92" s="414"/>
      <c r="G92" s="4">
        <v>22</v>
      </c>
    </row>
    <row r="93" spans="2:9">
      <c r="B93" s="419" t="s">
        <v>283</v>
      </c>
      <c r="C93" s="420"/>
      <c r="D93" s="420"/>
      <c r="E93" s="444"/>
      <c r="G93" s="4">
        <v>23</v>
      </c>
    </row>
    <row r="94" spans="2:9">
      <c r="B94" s="254" t="s">
        <v>197</v>
      </c>
      <c r="C94" s="436" t="s">
        <v>196</v>
      </c>
      <c r="D94" s="436" t="s">
        <v>260</v>
      </c>
      <c r="E94" s="445"/>
      <c r="G94" s="4" t="s">
        <v>284</v>
      </c>
    </row>
    <row r="95" spans="2:9">
      <c r="B95" s="191" t="s">
        <v>430</v>
      </c>
      <c r="C95" s="237">
        <v>0.6</v>
      </c>
      <c r="D95" s="237">
        <v>1.8</v>
      </c>
      <c r="G95" s="4" t="s">
        <v>285</v>
      </c>
    </row>
    <row r="96" spans="2:9">
      <c r="B96" s="191" t="s">
        <v>259</v>
      </c>
      <c r="C96" s="237">
        <v>0.8</v>
      </c>
      <c r="D96" s="237">
        <v>2.1</v>
      </c>
      <c r="G96" s="4" t="s">
        <v>286</v>
      </c>
    </row>
    <row r="97" spans="2:7">
      <c r="B97" s="191" t="s">
        <v>625</v>
      </c>
      <c r="C97" s="237">
        <v>0.9</v>
      </c>
      <c r="D97" s="237">
        <v>2.1</v>
      </c>
      <c r="G97" s="4" t="s">
        <v>287</v>
      </c>
    </row>
    <row r="98" spans="2:7">
      <c r="B98" s="191" t="s">
        <v>641</v>
      </c>
      <c r="C98" s="237">
        <v>1</v>
      </c>
      <c r="D98" s="237">
        <v>2.1</v>
      </c>
      <c r="G98" s="4" t="s">
        <v>288</v>
      </c>
    </row>
    <row r="99" spans="2:7">
      <c r="B99" s="191" t="s">
        <v>633</v>
      </c>
      <c r="C99" s="237">
        <v>1</v>
      </c>
      <c r="D99" s="237">
        <v>2.1</v>
      </c>
      <c r="G99" s="4" t="s">
        <v>289</v>
      </c>
    </row>
    <row r="100" spans="2:7">
      <c r="B100" s="191" t="s">
        <v>628</v>
      </c>
      <c r="C100" s="237">
        <v>1.2</v>
      </c>
      <c r="D100" s="237">
        <v>2.1</v>
      </c>
      <c r="G100" s="4" t="s">
        <v>290</v>
      </c>
    </row>
    <row r="101" spans="2:7">
      <c r="B101" s="191" t="s">
        <v>634</v>
      </c>
      <c r="C101" s="237">
        <v>1.4</v>
      </c>
      <c r="D101" s="237">
        <v>2.1</v>
      </c>
      <c r="G101" s="4" t="s">
        <v>291</v>
      </c>
    </row>
    <row r="102" spans="2:7">
      <c r="B102" s="191" t="s">
        <v>631</v>
      </c>
      <c r="C102" s="237">
        <v>1.4</v>
      </c>
      <c r="D102" s="237">
        <v>2.1</v>
      </c>
      <c r="G102" s="4" t="s">
        <v>292</v>
      </c>
    </row>
    <row r="103" spans="2:7">
      <c r="B103" s="191" t="s">
        <v>642</v>
      </c>
      <c r="C103" s="237">
        <v>1.4</v>
      </c>
      <c r="D103" s="237">
        <v>2.1</v>
      </c>
      <c r="G103" s="4" t="s">
        <v>293</v>
      </c>
    </row>
    <row r="104" spans="2:7">
      <c r="B104" s="191" t="s">
        <v>643</v>
      </c>
      <c r="C104" s="237">
        <v>1.4</v>
      </c>
      <c r="D104" s="237">
        <v>2.1</v>
      </c>
      <c r="G104" s="4" t="s">
        <v>294</v>
      </c>
    </row>
    <row r="105" spans="2:7">
      <c r="B105" s="191" t="s">
        <v>644</v>
      </c>
      <c r="C105" s="237">
        <v>1.6</v>
      </c>
      <c r="D105" s="237">
        <v>2.1</v>
      </c>
      <c r="G105" s="4" t="s">
        <v>295</v>
      </c>
    </row>
    <row r="106" spans="2:7">
      <c r="B106" s="191" t="s">
        <v>645</v>
      </c>
      <c r="C106" s="237">
        <v>1.6</v>
      </c>
      <c r="D106" s="237">
        <v>2.1</v>
      </c>
      <c r="G106" s="4" t="s">
        <v>296</v>
      </c>
    </row>
    <row r="107" spans="2:7">
      <c r="B107" s="191" t="s">
        <v>632</v>
      </c>
      <c r="C107" s="237">
        <v>1.6</v>
      </c>
      <c r="D107" s="237">
        <v>2.1</v>
      </c>
      <c r="G107" s="4" t="s">
        <v>297</v>
      </c>
    </row>
    <row r="108" spans="2:7">
      <c r="B108" s="191" t="s">
        <v>646</v>
      </c>
      <c r="C108" s="237">
        <v>2</v>
      </c>
      <c r="D108" s="237">
        <v>2.1</v>
      </c>
      <c r="G108" s="4" t="s">
        <v>298</v>
      </c>
    </row>
    <row r="109" spans="2:7">
      <c r="B109" s="191" t="s">
        <v>647</v>
      </c>
      <c r="C109" s="237">
        <v>1.2</v>
      </c>
      <c r="D109" s="237">
        <v>2.1</v>
      </c>
      <c r="G109" s="4" t="s">
        <v>299</v>
      </c>
    </row>
    <row r="110" spans="2:7">
      <c r="B110" s="191" t="s">
        <v>604</v>
      </c>
      <c r="C110" s="237">
        <v>8.1</v>
      </c>
      <c r="D110" s="237">
        <v>3.9</v>
      </c>
      <c r="G110" s="4" t="s">
        <v>300</v>
      </c>
    </row>
    <row r="111" spans="2:7">
      <c r="B111" s="191" t="s">
        <v>608</v>
      </c>
      <c r="C111" s="237">
        <v>0.9</v>
      </c>
      <c r="D111" s="237">
        <v>2.1</v>
      </c>
      <c r="G111" s="4" t="s">
        <v>301</v>
      </c>
    </row>
    <row r="112" spans="2:7">
      <c r="B112" s="191" t="s">
        <v>609</v>
      </c>
      <c r="C112" s="237">
        <v>1.4</v>
      </c>
      <c r="D112" s="237">
        <v>1.6</v>
      </c>
      <c r="G112" s="4" t="s">
        <v>302</v>
      </c>
    </row>
    <row r="113" spans="2:17">
      <c r="B113" s="191" t="s">
        <v>613</v>
      </c>
      <c r="C113" s="237">
        <v>0.9</v>
      </c>
      <c r="D113" s="237">
        <v>2.1</v>
      </c>
      <c r="G113" s="4" t="s">
        <v>302</v>
      </c>
    </row>
    <row r="114" spans="2:17">
      <c r="B114" s="191" t="s">
        <v>620</v>
      </c>
      <c r="C114" s="237">
        <v>1.2</v>
      </c>
      <c r="D114" s="237">
        <v>2.1</v>
      </c>
      <c r="G114" s="4" t="s">
        <v>301</v>
      </c>
    </row>
    <row r="115" spans="2:17">
      <c r="B115" s="191" t="s">
        <v>630</v>
      </c>
      <c r="C115" s="237">
        <v>0.7</v>
      </c>
      <c r="D115" s="237">
        <v>0.9</v>
      </c>
      <c r="G115" s="4" t="s">
        <v>302</v>
      </c>
    </row>
    <row r="116" spans="2:17">
      <c r="B116" s="191" t="s">
        <v>612</v>
      </c>
      <c r="C116" s="237">
        <v>1.4</v>
      </c>
      <c r="D116" s="237">
        <v>2.6</v>
      </c>
      <c r="G116" s="4" t="s">
        <v>302</v>
      </c>
    </row>
    <row r="117" spans="2:17">
      <c r="B117" s="191" t="s">
        <v>310</v>
      </c>
      <c r="C117" s="237"/>
      <c r="D117" s="237"/>
      <c r="G117" s="4" t="s">
        <v>302</v>
      </c>
    </row>
    <row r="118" spans="2:17">
      <c r="B118" s="191" t="s">
        <v>648</v>
      </c>
      <c r="C118" s="237"/>
      <c r="D118" s="237"/>
    </row>
    <row r="119" spans="2:17">
      <c r="B119" s="191" t="s">
        <v>649</v>
      </c>
      <c r="C119" s="237"/>
      <c r="D119" s="237"/>
    </row>
    <row r="120" spans="2:17">
      <c r="B120" s="191"/>
      <c r="C120" s="237"/>
      <c r="D120" s="237"/>
    </row>
    <row r="121" spans="2:17">
      <c r="B121" s="191"/>
      <c r="C121" s="237"/>
      <c r="D121" s="237"/>
    </row>
    <row r="122" spans="2:17">
      <c r="B122" s="191"/>
      <c r="C122" s="237"/>
      <c r="D122" s="237"/>
      <c r="E122" s="444"/>
      <c r="G122" s="4" t="s">
        <v>320</v>
      </c>
      <c r="J122" s="4" t="s">
        <v>336</v>
      </c>
      <c r="K122" s="4" t="s">
        <v>337</v>
      </c>
      <c r="M122" s="4" t="s">
        <v>344</v>
      </c>
      <c r="P122" s="4" t="s">
        <v>348</v>
      </c>
    </row>
    <row r="123" spans="2:17">
      <c r="B123" s="191"/>
      <c r="C123" s="237"/>
      <c r="D123" s="237"/>
      <c r="E123" s="445"/>
      <c r="G123" s="4">
        <v>1</v>
      </c>
      <c r="H123" s="4" t="s">
        <v>322</v>
      </c>
      <c r="J123" s="4">
        <v>1.8</v>
      </c>
      <c r="M123" s="4">
        <v>1</v>
      </c>
      <c r="N123" s="4" t="s">
        <v>345</v>
      </c>
      <c r="P123" s="4">
        <v>1</v>
      </c>
      <c r="Q123" s="4" t="s">
        <v>349</v>
      </c>
    </row>
    <row r="124" spans="2:17">
      <c r="B124" s="191"/>
      <c r="C124" s="237"/>
      <c r="D124" s="237"/>
      <c r="G124" s="4">
        <v>2</v>
      </c>
      <c r="H124" s="4" t="s">
        <v>321</v>
      </c>
      <c r="J124" s="4">
        <v>1.6</v>
      </c>
      <c r="M124" s="4">
        <v>2</v>
      </c>
      <c r="N124" s="4" t="s">
        <v>346</v>
      </c>
      <c r="P124" s="4">
        <v>2</v>
      </c>
      <c r="Q124" s="4" t="s">
        <v>350</v>
      </c>
    </row>
    <row r="125" spans="2:17">
      <c r="B125" s="191"/>
      <c r="C125" s="237"/>
      <c r="D125" s="237"/>
      <c r="G125" s="4">
        <v>3</v>
      </c>
      <c r="H125" s="4" t="s">
        <v>373</v>
      </c>
      <c r="J125" s="4">
        <v>1.6</v>
      </c>
      <c r="M125" s="4">
        <v>3</v>
      </c>
      <c r="N125" s="4" t="s">
        <v>347</v>
      </c>
      <c r="P125" s="4">
        <v>3</v>
      </c>
      <c r="Q125" s="4" t="s">
        <v>351</v>
      </c>
    </row>
    <row r="126" spans="2:17">
      <c r="B126" s="191"/>
      <c r="C126" s="237"/>
      <c r="D126" s="237"/>
      <c r="G126" s="4">
        <v>4</v>
      </c>
      <c r="H126" s="4" t="s">
        <v>323</v>
      </c>
      <c r="J126" s="4" t="s">
        <v>181</v>
      </c>
      <c r="M126" s="4">
        <v>9</v>
      </c>
      <c r="N126" s="4" t="s">
        <v>377</v>
      </c>
      <c r="P126" s="4">
        <v>4</v>
      </c>
      <c r="Q126" s="4" t="s">
        <v>352</v>
      </c>
    </row>
    <row r="127" spans="2:17">
      <c r="B127" s="421" t="s">
        <v>303</v>
      </c>
      <c r="C127" s="437"/>
      <c r="D127" s="437"/>
      <c r="G127" s="4">
        <v>5</v>
      </c>
      <c r="H127" s="4" t="s">
        <v>324</v>
      </c>
      <c r="J127" s="4" t="s">
        <v>181</v>
      </c>
      <c r="M127" s="4">
        <v>10</v>
      </c>
      <c r="N127" s="4" t="s">
        <v>378</v>
      </c>
    </row>
    <row r="128" spans="2:17">
      <c r="B128" s="254" t="s">
        <v>197</v>
      </c>
      <c r="C128" s="436" t="s">
        <v>196</v>
      </c>
      <c r="D128" s="436" t="s">
        <v>260</v>
      </c>
      <c r="G128" s="4">
        <v>6</v>
      </c>
      <c r="H128" s="2" t="s">
        <v>325</v>
      </c>
      <c r="J128" s="4">
        <v>1.8</v>
      </c>
      <c r="M128" s="4">
        <v>12</v>
      </c>
      <c r="N128" s="4" t="s">
        <v>379</v>
      </c>
    </row>
    <row r="129" spans="2:10">
      <c r="B129" s="190" t="s">
        <v>650</v>
      </c>
      <c r="C129" s="237">
        <v>0.9</v>
      </c>
      <c r="D129" s="237">
        <v>2.1</v>
      </c>
      <c r="G129" s="4">
        <v>7</v>
      </c>
      <c r="H129" s="2" t="s">
        <v>326</v>
      </c>
      <c r="J129" s="4">
        <v>0</v>
      </c>
    </row>
    <row r="130" spans="2:10">
      <c r="B130" s="190" t="s">
        <v>651</v>
      </c>
      <c r="C130" s="237">
        <f t="shared" ref="C130:C135" si="0">C129+0.1</f>
        <v>1</v>
      </c>
      <c r="D130" s="237">
        <v>2.1</v>
      </c>
      <c r="G130" s="4">
        <v>8</v>
      </c>
      <c r="H130" s="4" t="s">
        <v>327</v>
      </c>
      <c r="J130" s="4" t="s">
        <v>181</v>
      </c>
    </row>
    <row r="131" spans="2:10">
      <c r="B131" s="190" t="s">
        <v>652</v>
      </c>
      <c r="C131" s="237">
        <f t="shared" si="0"/>
        <v>1.1000000000000001</v>
      </c>
      <c r="D131" s="237">
        <v>2.1</v>
      </c>
      <c r="G131" s="4">
        <v>9</v>
      </c>
      <c r="H131" s="4" t="s">
        <v>329</v>
      </c>
      <c r="J131" s="4">
        <v>0</v>
      </c>
    </row>
    <row r="132" spans="2:10">
      <c r="B132" s="190" t="s">
        <v>653</v>
      </c>
      <c r="C132" s="237">
        <f t="shared" si="0"/>
        <v>1.2000000000000002</v>
      </c>
      <c r="D132" s="237">
        <v>2.1</v>
      </c>
      <c r="G132" s="4">
        <v>10</v>
      </c>
      <c r="H132" s="4" t="s">
        <v>328</v>
      </c>
      <c r="J132" s="4">
        <v>0</v>
      </c>
    </row>
    <row r="133" spans="2:10">
      <c r="B133" s="190" t="s">
        <v>654</v>
      </c>
      <c r="C133" s="237">
        <f t="shared" si="0"/>
        <v>1.3000000000000003</v>
      </c>
      <c r="D133" s="237">
        <v>2.1</v>
      </c>
    </row>
    <row r="134" spans="2:10">
      <c r="B134" s="190" t="s">
        <v>655</v>
      </c>
      <c r="C134" s="237">
        <f t="shared" si="0"/>
        <v>1.4000000000000004</v>
      </c>
      <c r="D134" s="237">
        <v>2.1</v>
      </c>
      <c r="G134" s="4">
        <v>12</v>
      </c>
      <c r="H134" s="4" t="s">
        <v>330</v>
      </c>
      <c r="J134" s="4">
        <v>0</v>
      </c>
    </row>
    <row r="135" spans="2:10">
      <c r="B135" s="190" t="s">
        <v>656</v>
      </c>
      <c r="C135" s="237">
        <f t="shared" si="0"/>
        <v>1.5000000000000004</v>
      </c>
      <c r="D135" s="237">
        <v>2.1</v>
      </c>
      <c r="G135" s="4">
        <v>13</v>
      </c>
      <c r="H135" s="4" t="s">
        <v>331</v>
      </c>
      <c r="J135" s="4">
        <v>1.6</v>
      </c>
    </row>
    <row r="136" spans="2:10">
      <c r="B136" s="190" t="s">
        <v>657</v>
      </c>
      <c r="C136" s="237">
        <v>2</v>
      </c>
      <c r="D136" s="237">
        <v>2.1</v>
      </c>
      <c r="G136" s="4">
        <v>14</v>
      </c>
      <c r="H136" s="4" t="s">
        <v>332</v>
      </c>
      <c r="J136" s="4">
        <v>1</v>
      </c>
    </row>
    <row r="137" spans="2:10">
      <c r="B137" s="190" t="s">
        <v>658</v>
      </c>
      <c r="C137" s="237">
        <v>1.5</v>
      </c>
      <c r="D137" s="237">
        <v>1.5</v>
      </c>
      <c r="G137" s="4">
        <v>15</v>
      </c>
      <c r="H137" s="4" t="s">
        <v>333</v>
      </c>
      <c r="J137" s="4" t="s">
        <v>338</v>
      </c>
    </row>
    <row r="138" spans="2:10">
      <c r="B138" s="190" t="s">
        <v>659</v>
      </c>
      <c r="C138" s="237">
        <v>1.8</v>
      </c>
      <c r="D138" s="237">
        <v>1.5</v>
      </c>
      <c r="G138" s="4">
        <v>16</v>
      </c>
      <c r="H138" s="4" t="s">
        <v>334</v>
      </c>
      <c r="J138" s="4" t="s">
        <v>181</v>
      </c>
    </row>
    <row r="139" spans="2:10">
      <c r="B139" s="4" t="s">
        <v>660</v>
      </c>
      <c r="C139" s="237">
        <v>1.6</v>
      </c>
      <c r="D139" s="237">
        <v>1.5</v>
      </c>
      <c r="G139" s="4">
        <v>17</v>
      </c>
      <c r="H139" s="4" t="s">
        <v>335</v>
      </c>
      <c r="J139" s="4">
        <v>0</v>
      </c>
    </row>
    <row r="140" spans="2:10">
      <c r="B140" s="190"/>
      <c r="C140" s="237"/>
      <c r="D140" s="237"/>
      <c r="G140" s="4">
        <v>18</v>
      </c>
      <c r="H140" s="4" t="s">
        <v>374</v>
      </c>
      <c r="J140" s="4" t="s">
        <v>376</v>
      </c>
    </row>
    <row r="141" spans="2:10">
      <c r="B141" s="190" t="s">
        <v>661</v>
      </c>
      <c r="C141" s="237">
        <v>2.7</v>
      </c>
      <c r="D141" s="237">
        <v>0.6</v>
      </c>
      <c r="G141" s="4">
        <v>19</v>
      </c>
      <c r="H141" s="4" t="s">
        <v>375</v>
      </c>
      <c r="J141" s="4">
        <v>0</v>
      </c>
    </row>
    <row r="142" spans="2:10">
      <c r="B142" s="190"/>
      <c r="C142" s="237"/>
      <c r="D142" s="237"/>
    </row>
    <row r="143" spans="2:10">
      <c r="B143" s="190" t="s">
        <v>662</v>
      </c>
      <c r="C143" s="237">
        <v>0.89</v>
      </c>
      <c r="D143" s="237">
        <v>2.1</v>
      </c>
    </row>
    <row r="144" spans="2:10">
      <c r="B144" s="422" t="s">
        <v>304</v>
      </c>
      <c r="C144" s="438"/>
      <c r="D144" s="438"/>
    </row>
    <row r="145" spans="2:7">
      <c r="B145" s="422" t="s">
        <v>305</v>
      </c>
      <c r="C145" s="438"/>
      <c r="D145" s="438"/>
    </row>
    <row r="146" spans="2:7">
      <c r="B146" s="422" t="s">
        <v>306</v>
      </c>
      <c r="C146" s="438"/>
      <c r="D146" s="438"/>
    </row>
    <row r="147" spans="2:7">
      <c r="B147" s="422" t="s">
        <v>307</v>
      </c>
      <c r="C147" s="438"/>
      <c r="D147" s="438"/>
    </row>
    <row r="148" spans="2:7">
      <c r="B148" s="422" t="s">
        <v>308</v>
      </c>
      <c r="C148" s="438"/>
      <c r="D148" s="438"/>
    </row>
    <row r="149" spans="2:7">
      <c r="B149" s="422" t="s">
        <v>309</v>
      </c>
      <c r="C149" s="438"/>
      <c r="D149" s="438"/>
    </row>
    <row r="151" spans="2:7" ht="15.75" thickBot="1"/>
    <row r="152" spans="2:7" ht="15.75" thickBot="1">
      <c r="B152" s="426" t="s">
        <v>269</v>
      </c>
      <c r="C152" s="439"/>
      <c r="D152" s="439"/>
      <c r="E152" s="446"/>
    </row>
    <row r="153" spans="2:7" ht="15.75" thickBot="1">
      <c r="B153" s="449"/>
      <c r="C153" s="450" t="s">
        <v>610</v>
      </c>
      <c r="D153" s="450"/>
      <c r="E153" s="451"/>
    </row>
    <row r="154" spans="2:7">
      <c r="B154" s="427" t="s">
        <v>197</v>
      </c>
      <c r="C154" s="428" t="s">
        <v>663</v>
      </c>
      <c r="D154" s="428" t="s">
        <v>664</v>
      </c>
      <c r="E154" s="429" t="s">
        <v>273</v>
      </c>
      <c r="G154" s="492"/>
    </row>
    <row r="155" spans="2:7">
      <c r="B155" s="511" t="s">
        <v>685</v>
      </c>
      <c r="C155" s="512">
        <v>1.9</v>
      </c>
      <c r="D155" s="512">
        <v>0.5</v>
      </c>
      <c r="E155" s="512">
        <v>2.6</v>
      </c>
      <c r="F155" s="492"/>
      <c r="G155" s="523"/>
    </row>
    <row r="156" spans="2:7">
      <c r="B156" s="511" t="s">
        <v>686</v>
      </c>
      <c r="C156" s="512">
        <v>1.2</v>
      </c>
      <c r="D156" s="512">
        <v>0.5</v>
      </c>
      <c r="E156" s="512">
        <v>2.6</v>
      </c>
      <c r="F156" s="492"/>
      <c r="G156" s="523"/>
    </row>
    <row r="157" spans="2:7">
      <c r="B157" s="511" t="s">
        <v>687</v>
      </c>
      <c r="C157" s="512">
        <v>1.6</v>
      </c>
      <c r="D157" s="512">
        <v>1</v>
      </c>
      <c r="E157" s="512">
        <v>1.1000000000000001</v>
      </c>
      <c r="F157" s="492"/>
      <c r="G157" s="523"/>
    </row>
    <row r="158" spans="2:7">
      <c r="B158" s="511" t="s">
        <v>688</v>
      </c>
      <c r="C158" s="512">
        <f>1.75+1.75+2.55</f>
        <v>6.05</v>
      </c>
      <c r="D158" s="512">
        <v>1.53</v>
      </c>
      <c r="E158" s="512">
        <v>0.75</v>
      </c>
      <c r="F158" s="492"/>
      <c r="G158" s="523"/>
    </row>
    <row r="159" spans="2:7">
      <c r="B159" s="511" t="s">
        <v>689</v>
      </c>
      <c r="C159" s="512">
        <v>0.78</v>
      </c>
      <c r="D159" s="512">
        <v>0.43</v>
      </c>
      <c r="E159" s="512">
        <v>1.85</v>
      </c>
      <c r="F159" s="492"/>
      <c r="G159" s="523"/>
    </row>
    <row r="160" spans="2:7">
      <c r="B160" s="511" t="s">
        <v>690</v>
      </c>
      <c r="C160" s="512">
        <v>1.6</v>
      </c>
      <c r="D160" s="512">
        <v>0.5</v>
      </c>
      <c r="E160" s="512">
        <v>1.6</v>
      </c>
      <c r="F160" s="492"/>
      <c r="G160" s="523"/>
    </row>
    <row r="161" spans="2:7">
      <c r="B161" s="511" t="s">
        <v>691</v>
      </c>
      <c r="C161" s="512">
        <f>3.65+3.65+2.25+1.65</f>
        <v>11.200000000000001</v>
      </c>
      <c r="D161" s="512">
        <v>1</v>
      </c>
      <c r="E161" s="512">
        <v>1.1000000000000001</v>
      </c>
      <c r="F161" s="492"/>
      <c r="G161" s="523"/>
    </row>
    <row r="162" spans="2:7">
      <c r="B162" s="525" t="s">
        <v>692</v>
      </c>
      <c r="C162" s="526">
        <f>2.65+1.75</f>
        <v>4.4000000000000004</v>
      </c>
      <c r="D162" s="526">
        <v>1</v>
      </c>
      <c r="E162" s="526">
        <v>1.1000000000000001</v>
      </c>
      <c r="F162" s="492"/>
      <c r="G162" s="523"/>
    </row>
    <row r="163" spans="2:7">
      <c r="B163" s="511" t="s">
        <v>693</v>
      </c>
      <c r="C163" s="512">
        <v>0.9</v>
      </c>
      <c r="D163" s="512">
        <v>0.5</v>
      </c>
      <c r="E163" s="512">
        <v>1.6</v>
      </c>
      <c r="F163" s="492"/>
      <c r="G163" s="523"/>
    </row>
    <row r="164" spans="2:7">
      <c r="B164" s="511" t="s">
        <v>694</v>
      </c>
      <c r="C164" s="512">
        <v>1.2</v>
      </c>
      <c r="D164" s="512">
        <v>1</v>
      </c>
      <c r="E164" s="512">
        <v>1.1000000000000001</v>
      </c>
      <c r="F164" s="492"/>
      <c r="G164" s="523"/>
    </row>
    <row r="165" spans="2:7">
      <c r="B165" s="511" t="s">
        <v>695</v>
      </c>
      <c r="C165" s="512">
        <v>0.15</v>
      </c>
      <c r="D165" s="512">
        <v>0.5</v>
      </c>
      <c r="E165" s="512">
        <v>1.6</v>
      </c>
      <c r="F165" s="492"/>
      <c r="G165" s="523"/>
    </row>
    <row r="166" spans="2:7">
      <c r="B166" s="511" t="s">
        <v>696</v>
      </c>
      <c r="C166" s="512">
        <v>1.25</v>
      </c>
      <c r="D166" s="512">
        <v>1</v>
      </c>
      <c r="E166" s="512">
        <v>1.1000000000000001</v>
      </c>
      <c r="F166" s="492"/>
      <c r="G166" s="523"/>
    </row>
    <row r="167" spans="2:7">
      <c r="B167" s="511" t="s">
        <v>697</v>
      </c>
      <c r="C167" s="512">
        <v>1.6</v>
      </c>
      <c r="D167" s="512">
        <v>1</v>
      </c>
      <c r="E167" s="512">
        <v>1.1000000000000001</v>
      </c>
      <c r="F167" s="492"/>
      <c r="G167" s="523"/>
    </row>
    <row r="168" spans="2:7">
      <c r="B168" s="511" t="s">
        <v>698</v>
      </c>
      <c r="C168" s="512">
        <v>1.8</v>
      </c>
      <c r="D168" s="512">
        <v>1</v>
      </c>
      <c r="E168" s="512">
        <v>1.1000000000000001</v>
      </c>
      <c r="F168" s="492"/>
      <c r="G168" s="523"/>
    </row>
    <row r="169" spans="2:7">
      <c r="B169" s="511" t="s">
        <v>699</v>
      </c>
      <c r="C169" s="512">
        <v>1.47</v>
      </c>
      <c r="D169" s="512">
        <v>0.5</v>
      </c>
      <c r="E169" s="512">
        <v>1.6</v>
      </c>
      <c r="F169" s="492"/>
      <c r="G169" s="523"/>
    </row>
    <row r="170" spans="2:7">
      <c r="B170" s="511" t="s">
        <v>700</v>
      </c>
      <c r="C170" s="512">
        <v>2</v>
      </c>
      <c r="D170" s="512">
        <v>1</v>
      </c>
      <c r="E170" s="512">
        <v>1.1000000000000001</v>
      </c>
      <c r="F170" s="492"/>
      <c r="G170" s="492"/>
    </row>
    <row r="171" spans="2:7">
      <c r="B171" s="511" t="s">
        <v>701</v>
      </c>
      <c r="C171" s="512">
        <v>2.8</v>
      </c>
      <c r="D171" s="512">
        <v>1</v>
      </c>
      <c r="E171" s="512">
        <v>1.1000000000000001</v>
      </c>
      <c r="F171" s="492"/>
      <c r="G171" s="492"/>
    </row>
    <row r="172" spans="2:7">
      <c r="B172" s="497"/>
      <c r="C172" s="498"/>
      <c r="D172" s="498"/>
      <c r="E172" s="499"/>
      <c r="F172" s="492"/>
      <c r="G172" s="523"/>
    </row>
    <row r="173" spans="2:7">
      <c r="B173" s="497"/>
      <c r="C173" s="498"/>
      <c r="D173" s="498"/>
      <c r="E173" s="499"/>
      <c r="F173" s="492"/>
      <c r="G173" s="523"/>
    </row>
    <row r="174" spans="2:7">
      <c r="B174" s="497"/>
      <c r="C174" s="498"/>
      <c r="D174" s="498"/>
      <c r="E174" s="499"/>
      <c r="F174" s="492"/>
      <c r="G174" s="523"/>
    </row>
    <row r="175" spans="2:7">
      <c r="B175" s="497"/>
      <c r="C175" s="498"/>
      <c r="D175" s="498"/>
      <c r="E175" s="499"/>
      <c r="F175" s="492"/>
      <c r="G175" s="524"/>
    </row>
    <row r="176" spans="2:7">
      <c r="B176" s="497"/>
      <c r="C176" s="498"/>
      <c r="D176" s="498"/>
      <c r="E176" s="499"/>
      <c r="F176" s="492"/>
      <c r="G176" s="523"/>
    </row>
    <row r="177" spans="2:7">
      <c r="B177" s="497"/>
      <c r="C177" s="498"/>
      <c r="D177" s="498"/>
      <c r="E177" s="499"/>
      <c r="F177" s="492"/>
      <c r="G177" s="524"/>
    </row>
    <row r="178" spans="2:7">
      <c r="B178" s="500"/>
      <c r="C178" s="501"/>
      <c r="D178" s="501"/>
      <c r="E178" s="502"/>
      <c r="F178" s="492"/>
    </row>
    <row r="179" spans="2:7">
      <c r="B179" s="500"/>
      <c r="C179" s="501"/>
      <c r="D179" s="501"/>
      <c r="E179" s="502"/>
      <c r="F179" s="492"/>
    </row>
    <row r="180" spans="2:7">
      <c r="B180" s="500"/>
      <c r="C180" s="501"/>
      <c r="D180" s="501"/>
      <c r="E180" s="502"/>
      <c r="F180" s="492"/>
    </row>
    <row r="181" spans="2:7">
      <c r="B181" s="500"/>
      <c r="C181" s="501"/>
      <c r="D181" s="501"/>
      <c r="E181" s="502"/>
      <c r="F181" s="492"/>
    </row>
    <row r="182" spans="2:7">
      <c r="B182" s="508"/>
      <c r="C182" s="490"/>
      <c r="D182" s="490"/>
      <c r="E182" s="499"/>
      <c r="F182" s="492"/>
    </row>
    <row r="183" spans="2:7">
      <c r="B183" s="509"/>
      <c r="C183" s="490"/>
      <c r="D183" s="490"/>
      <c r="E183" s="499"/>
      <c r="F183" s="492"/>
    </row>
    <row r="184" spans="2:7">
      <c r="B184" s="509"/>
      <c r="C184" s="490"/>
      <c r="D184" s="490"/>
      <c r="E184" s="499"/>
      <c r="F184" s="492"/>
    </row>
    <row r="185" spans="2:7">
      <c r="B185" s="509"/>
      <c r="C185" s="490"/>
      <c r="D185" s="490"/>
      <c r="E185" s="499"/>
      <c r="F185" s="492"/>
    </row>
    <row r="186" spans="2:7">
      <c r="B186" s="487"/>
      <c r="C186" s="488"/>
      <c r="D186" s="488"/>
      <c r="E186" s="489"/>
    </row>
    <row r="187" spans="2:7" ht="15.75" thickBot="1">
      <c r="B187" s="456"/>
      <c r="C187" s="441"/>
      <c r="D187" s="441"/>
      <c r="E187" s="448"/>
    </row>
    <row r="188" spans="2:7" ht="15.75" thickBot="1">
      <c r="B188" s="449"/>
      <c r="C188" s="450" t="s">
        <v>665</v>
      </c>
      <c r="D188" s="450"/>
      <c r="E188" s="451"/>
    </row>
    <row r="189" spans="2:7">
      <c r="B189" s="427" t="s">
        <v>197</v>
      </c>
      <c r="C189" s="428" t="s">
        <v>663</v>
      </c>
      <c r="D189" s="428" t="s">
        <v>664</v>
      </c>
      <c r="E189" s="429" t="s">
        <v>721</v>
      </c>
    </row>
    <row r="190" spans="2:7">
      <c r="B190" s="514" t="s">
        <v>722</v>
      </c>
      <c r="C190" s="515">
        <v>1</v>
      </c>
      <c r="D190" s="515">
        <v>2.1</v>
      </c>
      <c r="E190" s="503"/>
      <c r="F190" s="492"/>
    </row>
    <row r="191" spans="2:7" s="491" customFormat="1">
      <c r="B191" s="514" t="s">
        <v>723</v>
      </c>
      <c r="C191" s="515">
        <v>1</v>
      </c>
      <c r="D191" s="515">
        <v>0.9</v>
      </c>
      <c r="E191" s="503"/>
      <c r="F191" s="492"/>
    </row>
    <row r="192" spans="2:7" s="491" customFormat="1">
      <c r="B192" s="514" t="s">
        <v>724</v>
      </c>
      <c r="C192" s="515">
        <v>1.35</v>
      </c>
      <c r="D192" s="515">
        <v>4.5</v>
      </c>
      <c r="E192" s="503"/>
      <c r="F192" s="492"/>
    </row>
    <row r="193" spans="2:8">
      <c r="B193" s="514" t="s">
        <v>702</v>
      </c>
      <c r="C193" s="515">
        <v>3</v>
      </c>
      <c r="D193" s="515">
        <v>0.85</v>
      </c>
      <c r="E193" s="503"/>
      <c r="F193" s="492"/>
    </row>
    <row r="194" spans="2:8">
      <c r="B194" s="514" t="s">
        <v>703</v>
      </c>
      <c r="C194" s="515">
        <v>3.7</v>
      </c>
      <c r="D194" s="515">
        <v>0.85</v>
      </c>
      <c r="E194" s="503"/>
      <c r="F194" s="492"/>
    </row>
    <row r="195" spans="2:8">
      <c r="B195" s="514" t="s">
        <v>719</v>
      </c>
      <c r="C195" s="515">
        <v>1</v>
      </c>
      <c r="D195" s="515">
        <v>2.1</v>
      </c>
      <c r="E195" s="503"/>
      <c r="F195" s="492">
        <v>4.25</v>
      </c>
      <c r="G195" s="4">
        <v>1</v>
      </c>
    </row>
    <row r="196" spans="2:8" s="491" customFormat="1">
      <c r="B196" s="514" t="s">
        <v>720</v>
      </c>
      <c r="C196" s="515">
        <v>1</v>
      </c>
      <c r="D196" s="515">
        <v>2.1</v>
      </c>
      <c r="E196" s="503"/>
      <c r="F196" s="492"/>
    </row>
    <row r="197" spans="2:8" s="491" customFormat="1">
      <c r="B197" s="514" t="s">
        <v>751</v>
      </c>
      <c r="C197" s="515">
        <v>1.95</v>
      </c>
      <c r="D197" s="515">
        <v>4.2</v>
      </c>
      <c r="E197" s="503"/>
      <c r="F197" s="492"/>
    </row>
    <row r="198" spans="2:8" s="491" customFormat="1">
      <c r="B198" s="514" t="s">
        <v>752</v>
      </c>
      <c r="C198" s="515">
        <v>1.45</v>
      </c>
      <c r="D198" s="515">
        <v>4.5</v>
      </c>
      <c r="E198" s="503"/>
      <c r="F198" s="492"/>
    </row>
    <row r="199" spans="2:8">
      <c r="B199" s="514" t="s">
        <v>725</v>
      </c>
      <c r="C199" s="515">
        <v>1</v>
      </c>
      <c r="D199" s="515">
        <v>2.1</v>
      </c>
      <c r="E199" s="503"/>
      <c r="F199" s="492"/>
      <c r="G199" s="461"/>
      <c r="H199" s="461"/>
    </row>
    <row r="200" spans="2:8" s="491" customFormat="1">
      <c r="B200" s="514" t="s">
        <v>726</v>
      </c>
      <c r="C200" s="515">
        <v>1</v>
      </c>
      <c r="D200" s="515">
        <v>2.4</v>
      </c>
      <c r="E200" s="503"/>
      <c r="F200" s="492"/>
      <c r="G200" s="461"/>
      <c r="H200" s="461"/>
    </row>
    <row r="201" spans="2:8" s="491" customFormat="1">
      <c r="B201" s="514" t="s">
        <v>727</v>
      </c>
      <c r="C201" s="515">
        <v>2.63</v>
      </c>
      <c r="D201" s="515">
        <v>4.5</v>
      </c>
      <c r="E201" s="503"/>
      <c r="F201" s="492"/>
      <c r="G201" s="461"/>
      <c r="H201" s="461"/>
    </row>
    <row r="202" spans="2:8">
      <c r="B202" s="514" t="s">
        <v>728</v>
      </c>
      <c r="C202" s="515">
        <v>1</v>
      </c>
      <c r="D202" s="515">
        <v>2.1</v>
      </c>
      <c r="E202" s="503"/>
      <c r="F202" s="492"/>
      <c r="G202" s="461"/>
      <c r="H202" s="461"/>
    </row>
    <row r="203" spans="2:8" s="491" customFormat="1">
      <c r="B203" s="514" t="s">
        <v>729</v>
      </c>
      <c r="C203" s="516">
        <v>1</v>
      </c>
      <c r="D203" s="515">
        <v>2.4</v>
      </c>
      <c r="E203" s="503"/>
      <c r="F203" s="492"/>
      <c r="G203" s="461"/>
      <c r="H203" s="461"/>
    </row>
    <row r="204" spans="2:8" s="491" customFormat="1">
      <c r="B204" s="514" t="s">
        <v>730</v>
      </c>
      <c r="C204" s="516">
        <v>1.08</v>
      </c>
      <c r="D204" s="515">
        <v>4.5</v>
      </c>
      <c r="E204" s="503"/>
      <c r="F204" s="492"/>
      <c r="G204" s="461"/>
      <c r="H204" s="461"/>
    </row>
    <row r="205" spans="2:8">
      <c r="B205" s="514" t="s">
        <v>731</v>
      </c>
      <c r="C205" s="515">
        <v>1</v>
      </c>
      <c r="D205" s="515">
        <v>2.1</v>
      </c>
      <c r="E205" s="503"/>
      <c r="F205" s="492"/>
      <c r="G205" s="461"/>
      <c r="H205" s="461"/>
    </row>
    <row r="206" spans="2:8" s="491" customFormat="1">
      <c r="B206" s="514" t="s">
        <v>732</v>
      </c>
      <c r="C206" s="516">
        <v>1</v>
      </c>
      <c r="D206" s="515">
        <v>2.4</v>
      </c>
      <c r="E206" s="503"/>
      <c r="F206" s="492"/>
      <c r="G206" s="461"/>
      <c r="H206" s="461"/>
    </row>
    <row r="207" spans="2:8" s="491" customFormat="1">
      <c r="B207" s="514" t="s">
        <v>733</v>
      </c>
      <c r="C207" s="516">
        <v>1.25</v>
      </c>
      <c r="D207" s="515">
        <v>4.5</v>
      </c>
      <c r="E207" s="503"/>
      <c r="F207" s="492"/>
      <c r="G207" s="461"/>
      <c r="H207" s="461"/>
    </row>
    <row r="208" spans="2:8">
      <c r="B208" s="517" t="s">
        <v>734</v>
      </c>
      <c r="C208" s="518">
        <v>1</v>
      </c>
      <c r="D208" s="518">
        <v>2.1</v>
      </c>
      <c r="E208" s="503"/>
      <c r="F208" s="492"/>
      <c r="G208" s="461"/>
      <c r="H208" s="461"/>
    </row>
    <row r="209" spans="2:8" s="491" customFormat="1">
      <c r="B209" s="517" t="s">
        <v>735</v>
      </c>
      <c r="C209" s="518">
        <v>1</v>
      </c>
      <c r="D209" s="518">
        <v>0.9</v>
      </c>
      <c r="E209" s="503"/>
      <c r="F209" s="492"/>
      <c r="G209" s="461"/>
      <c r="H209" s="461"/>
    </row>
    <row r="210" spans="2:8" s="491" customFormat="1">
      <c r="B210" s="517" t="s">
        <v>736</v>
      </c>
      <c r="C210" s="519">
        <v>1.45</v>
      </c>
      <c r="D210" s="519">
        <v>3</v>
      </c>
      <c r="E210" s="503"/>
      <c r="F210" s="492"/>
      <c r="G210" s="461"/>
      <c r="H210" s="461"/>
    </row>
    <row r="211" spans="2:8" s="492" customFormat="1">
      <c r="B211" s="514" t="s">
        <v>737</v>
      </c>
      <c r="C211" s="515">
        <v>1</v>
      </c>
      <c r="D211" s="515">
        <v>2.1</v>
      </c>
      <c r="E211" s="503"/>
      <c r="G211" s="513"/>
      <c r="H211" s="513"/>
    </row>
    <row r="212" spans="2:8" s="492" customFormat="1">
      <c r="B212" s="514" t="s">
        <v>738</v>
      </c>
      <c r="C212" s="515">
        <v>1</v>
      </c>
      <c r="D212" s="515">
        <v>0.9</v>
      </c>
      <c r="E212" s="503"/>
      <c r="G212" s="513"/>
      <c r="H212" s="513"/>
    </row>
    <row r="213" spans="2:8" s="492" customFormat="1">
      <c r="B213" s="514" t="s">
        <v>739</v>
      </c>
      <c r="C213" s="516">
        <f>1.06+0.85+2.06</f>
        <v>3.97</v>
      </c>
      <c r="D213" s="516">
        <v>4.5</v>
      </c>
      <c r="E213" s="503"/>
      <c r="G213" s="513"/>
      <c r="H213" s="513"/>
    </row>
    <row r="214" spans="2:8" s="492" customFormat="1">
      <c r="B214" s="514" t="s">
        <v>740</v>
      </c>
      <c r="C214" s="515">
        <v>1</v>
      </c>
      <c r="D214" s="515">
        <v>2.1</v>
      </c>
      <c r="E214" s="503"/>
      <c r="G214" s="513"/>
      <c r="H214" s="513"/>
    </row>
    <row r="215" spans="2:8" s="492" customFormat="1">
      <c r="B215" s="514" t="s">
        <v>741</v>
      </c>
      <c r="C215" s="515">
        <v>1</v>
      </c>
      <c r="D215" s="515">
        <v>0.95</v>
      </c>
      <c r="E215" s="503"/>
      <c r="G215" s="513"/>
      <c r="H215" s="513"/>
    </row>
    <row r="216" spans="2:8" s="492" customFormat="1">
      <c r="B216" s="514" t="s">
        <v>742</v>
      </c>
      <c r="C216" s="516">
        <f>2*1</f>
        <v>2</v>
      </c>
      <c r="D216" s="516">
        <v>4.5</v>
      </c>
      <c r="E216" s="503"/>
      <c r="G216" s="513"/>
      <c r="H216" s="513"/>
    </row>
    <row r="217" spans="2:8" s="492" customFormat="1">
      <c r="B217" s="514" t="s">
        <v>743</v>
      </c>
      <c r="C217" s="515">
        <v>1</v>
      </c>
      <c r="D217" s="515">
        <v>2.1</v>
      </c>
      <c r="E217" s="503"/>
      <c r="G217" s="513"/>
      <c r="H217" s="513"/>
    </row>
    <row r="218" spans="2:8" s="492" customFormat="1">
      <c r="B218" s="514" t="s">
        <v>744</v>
      </c>
      <c r="C218" s="516">
        <v>1</v>
      </c>
      <c r="D218" s="516">
        <v>0.4</v>
      </c>
      <c r="E218" s="503"/>
      <c r="G218" s="513"/>
      <c r="H218" s="513"/>
    </row>
    <row r="219" spans="2:8" s="492" customFormat="1">
      <c r="B219" s="514" t="s">
        <v>745</v>
      </c>
      <c r="C219" s="515">
        <v>1</v>
      </c>
      <c r="D219" s="515">
        <v>2.1</v>
      </c>
      <c r="E219" s="503"/>
      <c r="G219" s="513"/>
      <c r="H219" s="513"/>
    </row>
    <row r="220" spans="2:8" s="492" customFormat="1">
      <c r="B220" s="514" t="s">
        <v>746</v>
      </c>
      <c r="C220" s="516">
        <v>1</v>
      </c>
      <c r="D220" s="516">
        <v>0.4</v>
      </c>
      <c r="E220" s="503"/>
      <c r="G220" s="513"/>
      <c r="H220" s="513"/>
    </row>
    <row r="221" spans="2:8" s="492" customFormat="1">
      <c r="B221" s="514" t="s">
        <v>747</v>
      </c>
      <c r="C221" s="516">
        <v>1.85</v>
      </c>
      <c r="D221" s="516">
        <v>2.5</v>
      </c>
      <c r="E221" s="503"/>
      <c r="G221" s="513"/>
      <c r="H221" s="513"/>
    </row>
    <row r="222" spans="2:8">
      <c r="B222" s="514" t="s">
        <v>704</v>
      </c>
      <c r="C222" s="516">
        <v>0.8</v>
      </c>
      <c r="D222" s="516">
        <v>2.1</v>
      </c>
      <c r="E222" s="503"/>
      <c r="F222" s="492"/>
    </row>
    <row r="223" spans="2:8">
      <c r="B223" s="514" t="s">
        <v>705</v>
      </c>
      <c r="C223" s="516">
        <v>0.8</v>
      </c>
      <c r="D223" s="516">
        <v>2.1</v>
      </c>
      <c r="E223" s="503"/>
      <c r="F223" s="492"/>
    </row>
    <row r="224" spans="2:8">
      <c r="B224" s="514" t="s">
        <v>706</v>
      </c>
      <c r="C224" s="516">
        <v>0.9</v>
      </c>
      <c r="D224" s="516">
        <v>2.1</v>
      </c>
      <c r="E224" s="503"/>
      <c r="F224" s="492"/>
    </row>
    <row r="225" spans="2:6" s="492" customFormat="1">
      <c r="B225" s="514" t="s">
        <v>707</v>
      </c>
      <c r="C225" s="516">
        <v>0.8</v>
      </c>
      <c r="D225" s="516">
        <v>2.1</v>
      </c>
      <c r="E225" s="503"/>
    </row>
    <row r="226" spans="2:6">
      <c r="B226" s="514" t="s">
        <v>708</v>
      </c>
      <c r="C226" s="520">
        <v>2</v>
      </c>
      <c r="D226" s="516">
        <v>2.1</v>
      </c>
      <c r="E226" s="503"/>
      <c r="F226" s="510"/>
    </row>
    <row r="227" spans="2:6">
      <c r="B227" s="514" t="s">
        <v>709</v>
      </c>
      <c r="C227" s="520">
        <v>3</v>
      </c>
      <c r="D227" s="516">
        <v>2.1</v>
      </c>
      <c r="E227" s="503"/>
      <c r="F227" s="510"/>
    </row>
    <row r="228" spans="2:6">
      <c r="B228" s="514" t="s">
        <v>710</v>
      </c>
      <c r="C228" s="521">
        <v>1.5</v>
      </c>
      <c r="D228" s="516">
        <v>2.1</v>
      </c>
      <c r="E228" s="504"/>
      <c r="F228" s="492"/>
    </row>
    <row r="229" spans="2:6">
      <c r="B229" s="514" t="s">
        <v>711</v>
      </c>
      <c r="C229" s="521">
        <v>2</v>
      </c>
      <c r="D229" s="516">
        <v>2.1</v>
      </c>
      <c r="E229" s="504"/>
      <c r="F229" s="492"/>
    </row>
    <row r="230" spans="2:6" s="191" customFormat="1">
      <c r="B230" s="514" t="s">
        <v>712</v>
      </c>
      <c r="C230" s="522">
        <v>4</v>
      </c>
      <c r="D230" s="516">
        <v>2.1</v>
      </c>
      <c r="E230" s="507"/>
      <c r="F230" s="492"/>
    </row>
    <row r="231" spans="2:6" s="191" customFormat="1">
      <c r="B231" s="514" t="s">
        <v>713</v>
      </c>
      <c r="C231" s="522">
        <v>3</v>
      </c>
      <c r="D231" s="516">
        <v>2.1</v>
      </c>
      <c r="E231" s="507"/>
      <c r="F231" s="492"/>
    </row>
    <row r="232" spans="2:6" s="191" customFormat="1">
      <c r="B232" s="514" t="s">
        <v>714</v>
      </c>
      <c r="C232" s="522">
        <v>2</v>
      </c>
      <c r="D232" s="516">
        <v>2.1</v>
      </c>
      <c r="E232" s="507"/>
      <c r="F232" s="492"/>
    </row>
    <row r="233" spans="2:6" s="191" customFormat="1">
      <c r="B233" s="514" t="s">
        <v>715</v>
      </c>
      <c r="C233" s="522">
        <v>3.85</v>
      </c>
      <c r="D233" s="516">
        <v>2.1</v>
      </c>
      <c r="E233" s="507"/>
      <c r="F233" s="492"/>
    </row>
    <row r="234" spans="2:6" s="191" customFormat="1">
      <c r="B234" s="514" t="s">
        <v>716</v>
      </c>
      <c r="C234" s="522">
        <v>0.9</v>
      </c>
      <c r="D234" s="516">
        <v>2.1</v>
      </c>
      <c r="E234" s="507"/>
      <c r="F234" s="492"/>
    </row>
    <row r="235" spans="2:6" s="191" customFormat="1">
      <c r="B235" s="514" t="s">
        <v>717</v>
      </c>
      <c r="C235" s="522">
        <v>0.8</v>
      </c>
      <c r="D235" s="516">
        <v>2.1</v>
      </c>
      <c r="E235" s="507"/>
      <c r="F235" s="492"/>
    </row>
    <row r="236" spans="2:6" s="191" customFormat="1">
      <c r="B236" s="514" t="s">
        <v>718</v>
      </c>
      <c r="C236" s="522">
        <v>2.5</v>
      </c>
      <c r="D236" s="522">
        <v>1.2</v>
      </c>
      <c r="E236" s="507"/>
      <c r="F236" s="492"/>
    </row>
    <row r="237" spans="2:6" s="191" customFormat="1">
      <c r="B237" s="505"/>
      <c r="C237" s="506"/>
      <c r="D237" s="506"/>
      <c r="E237" s="507"/>
      <c r="F237" s="492"/>
    </row>
    <row r="238" spans="2:6" s="191" customFormat="1">
      <c r="B238" s="505"/>
      <c r="C238" s="506"/>
      <c r="D238" s="506"/>
      <c r="E238" s="507"/>
      <c r="F238" s="492"/>
    </row>
    <row r="239" spans="2:6">
      <c r="B239" s="497"/>
      <c r="C239" s="490"/>
      <c r="D239" s="490"/>
      <c r="E239" s="499"/>
      <c r="F239" s="492"/>
    </row>
    <row r="240" spans="2:6">
      <c r="B240" s="497"/>
      <c r="C240" s="490"/>
      <c r="D240" s="490"/>
      <c r="E240" s="499"/>
      <c r="F240" s="492"/>
    </row>
    <row r="241" spans="2:6">
      <c r="B241" s="508"/>
      <c r="C241" s="490"/>
      <c r="D241" s="490"/>
      <c r="E241" s="499"/>
      <c r="F241" s="492"/>
    </row>
    <row r="242" spans="2:6">
      <c r="B242" s="509"/>
      <c r="C242" s="490"/>
      <c r="D242" s="490"/>
      <c r="E242" s="499"/>
      <c r="F242" s="492"/>
    </row>
    <row r="243" spans="2:6">
      <c r="B243" s="509"/>
      <c r="C243" s="490"/>
      <c r="D243" s="490"/>
      <c r="E243" s="499"/>
      <c r="F243" s="492"/>
    </row>
    <row r="244" spans="2:6">
      <c r="B244" s="509"/>
      <c r="C244" s="490"/>
      <c r="D244" s="490"/>
      <c r="E244" s="499"/>
      <c r="F244" s="492"/>
    </row>
    <row r="245" spans="2:6">
      <c r="B245" s="509"/>
      <c r="C245" s="490"/>
      <c r="D245" s="490"/>
      <c r="E245" s="499"/>
      <c r="F245" s="492"/>
    </row>
    <row r="246" spans="2:6">
      <c r="B246" s="509"/>
      <c r="C246" s="490"/>
      <c r="D246" s="490"/>
      <c r="E246" s="499"/>
      <c r="F246" s="492"/>
    </row>
    <row r="247" spans="2:6">
      <c r="B247" s="509"/>
      <c r="C247" s="490"/>
      <c r="D247" s="490"/>
      <c r="E247" s="499"/>
      <c r="F247" s="492"/>
    </row>
    <row r="248" spans="2:6">
      <c r="B248" s="509"/>
      <c r="C248" s="490"/>
      <c r="D248" s="490"/>
      <c r="E248" s="499"/>
      <c r="F248" s="492"/>
    </row>
    <row r="249" spans="2:6">
      <c r="B249" s="430"/>
      <c r="C249" s="440"/>
      <c r="D249" s="440"/>
      <c r="E249" s="447"/>
    </row>
    <row r="250" spans="2:6">
      <c r="B250" s="430"/>
      <c r="C250" s="440"/>
      <c r="D250" s="440"/>
      <c r="E250" s="447"/>
    </row>
    <row r="251" spans="2:6">
      <c r="B251" s="430"/>
      <c r="C251" s="440"/>
      <c r="D251" s="440"/>
      <c r="E251" s="447"/>
    </row>
    <row r="252" spans="2:6" ht="15.75" thickBot="1">
      <c r="B252" s="431"/>
      <c r="C252" s="441"/>
      <c r="D252" s="441"/>
      <c r="E252" s="448"/>
    </row>
  </sheetData>
  <customSheetViews>
    <customSheetView guid="{BF95D06F-A801-4955-B76D-3C2C36D85037}" state="hidden">
      <selection activeCell="F310" sqref="F310"/>
      <pageMargins left="0.511811024" right="0.511811024" top="0.78740157499999996" bottom="0.78740157499999996" header="0.31496062000000002" footer="0.31496062000000002"/>
    </customSheetView>
    <customSheetView guid="{385977A3-6FE9-40C9-8548-2B73DA2662B2}" topLeftCell="A187">
      <selection activeCell="F195" sqref="F195"/>
      <pageMargins left="0.511811024" right="0.511811024" top="0.78740157499999996" bottom="0.78740157499999996" header="0.31496062000000002" footer="0.31496062000000002"/>
    </customSheetView>
  </customSheetViews>
  <mergeCells count="4">
    <mergeCell ref="C12:C13"/>
    <mergeCell ref="D12:D13"/>
    <mergeCell ref="H12:H13"/>
    <mergeCell ref="I12:I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6" tint="-0.499984740745262"/>
    <pageSetUpPr fitToPage="1"/>
  </sheetPr>
  <dimension ref="A1:AR128"/>
  <sheetViews>
    <sheetView topLeftCell="D1" workbookViewId="0"/>
  </sheetViews>
  <sheetFormatPr defaultRowHeight="12.75"/>
  <cols>
    <col min="1" max="1" width="13.28515625" style="5" hidden="1" customWidth="1"/>
    <col min="2" max="2" width="17.28515625" style="150" hidden="1" customWidth="1"/>
    <col min="3" max="3" width="20.28515625" style="5" hidden="1" customWidth="1"/>
    <col min="4" max="4" width="62.140625" style="5" customWidth="1"/>
    <col min="5" max="5" width="27" style="5" hidden="1" customWidth="1"/>
    <col min="6" max="6" width="10.42578125" style="37" customWidth="1"/>
    <col min="7" max="7" width="16.7109375" style="5" customWidth="1"/>
    <col min="8" max="10" width="16.5703125" style="5" customWidth="1"/>
    <col min="11" max="11" width="19.140625" style="5" customWidth="1"/>
    <col min="12" max="12" width="13.140625" style="5" customWidth="1"/>
    <col min="13" max="13" width="18.28515625" style="5" customWidth="1"/>
    <col min="14" max="14" width="20.7109375" style="5" customWidth="1"/>
    <col min="15" max="15" width="24" style="5" customWidth="1"/>
    <col min="16" max="16" width="18.7109375" style="5" customWidth="1"/>
    <col min="17" max="17" width="10.5703125" style="5" customWidth="1"/>
    <col min="18" max="26" width="9.140625" style="5"/>
    <col min="27" max="27" width="9" style="5" customWidth="1"/>
    <col min="28" max="16384" width="9.140625" style="5"/>
  </cols>
  <sheetData>
    <row r="1" spans="1:44" ht="63.75" customHeight="1">
      <c r="A1" s="179"/>
      <c r="B1" s="174"/>
      <c r="C1" s="173"/>
      <c r="D1" s="175"/>
      <c r="E1" s="173"/>
      <c r="F1" s="176"/>
      <c r="G1" s="173"/>
      <c r="H1" s="173"/>
      <c r="I1" s="173"/>
      <c r="J1" s="173"/>
      <c r="K1" s="173"/>
      <c r="L1" s="173"/>
      <c r="M1" s="173"/>
      <c r="N1" s="3" t="s">
        <v>73</v>
      </c>
      <c r="AR1" s="12"/>
    </row>
    <row r="2" spans="1:44" ht="20.25" customHeight="1">
      <c r="A2" s="824" t="s">
        <v>170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6"/>
      <c r="AR2" s="13"/>
    </row>
    <row r="3" spans="1:44" ht="22.5" customHeight="1">
      <c r="A3" s="6" t="s">
        <v>3</v>
      </c>
      <c r="B3" s="7" t="e">
        <f>#REF!</f>
        <v>#REF!</v>
      </c>
      <c r="C3" s="7"/>
      <c r="D3" s="170" t="s">
        <v>168</v>
      </c>
      <c r="E3" s="7"/>
      <c r="F3" s="7"/>
      <c r="G3" s="7"/>
      <c r="H3" s="7"/>
      <c r="I3" s="7"/>
      <c r="J3" s="166"/>
      <c r="K3" s="7"/>
      <c r="L3" s="7" t="s">
        <v>78</v>
      </c>
      <c r="M3" s="177">
        <v>0.22120000000000001</v>
      </c>
      <c r="O3" s="155" t="e">
        <f>#REF!</f>
        <v>#REF!</v>
      </c>
      <c r="AR3" s="23"/>
    </row>
    <row r="4" spans="1:44" ht="22.5" customHeight="1">
      <c r="A4" s="8" t="s">
        <v>4</v>
      </c>
      <c r="B4" s="147"/>
      <c r="C4" s="9"/>
      <c r="D4" s="171" t="s">
        <v>169</v>
      </c>
      <c r="E4" s="9"/>
      <c r="F4" s="9"/>
      <c r="G4" s="9"/>
      <c r="H4" s="9"/>
      <c r="I4" s="9"/>
      <c r="J4" s="167"/>
      <c r="K4" s="9"/>
      <c r="L4" s="9" t="s">
        <v>79</v>
      </c>
      <c r="M4" s="178">
        <v>0.14019999999999999</v>
      </c>
      <c r="O4" s="155" t="e">
        <f>#REF!</f>
        <v>#REF!</v>
      </c>
      <c r="AR4" s="23"/>
    </row>
    <row r="5" spans="1:44" ht="35.25" customHeight="1">
      <c r="A5" s="18" t="s">
        <v>0</v>
      </c>
      <c r="B5" s="148" t="s">
        <v>20</v>
      </c>
      <c r="C5" s="168" t="s">
        <v>21</v>
      </c>
      <c r="D5" s="19" t="s">
        <v>1</v>
      </c>
      <c r="E5" s="19" t="s">
        <v>41</v>
      </c>
      <c r="F5" s="20" t="s">
        <v>19</v>
      </c>
      <c r="G5" s="18" t="s">
        <v>2</v>
      </c>
      <c r="H5" s="11" t="s">
        <v>74</v>
      </c>
      <c r="I5" s="10" t="s">
        <v>76</v>
      </c>
      <c r="J5" s="11" t="s">
        <v>75</v>
      </c>
      <c r="K5" s="18" t="s">
        <v>5</v>
      </c>
      <c r="L5" s="18" t="s">
        <v>77</v>
      </c>
      <c r="M5" s="18" t="s">
        <v>157</v>
      </c>
      <c r="N5" s="145"/>
      <c r="O5" s="155" t="e">
        <f>#REF!</f>
        <v>#REF!</v>
      </c>
      <c r="AR5" s="23"/>
    </row>
    <row r="6" spans="1:44" ht="50.1" customHeight="1">
      <c r="A6" s="22" t="s">
        <v>32</v>
      </c>
      <c r="B6" s="49" t="s">
        <v>88</v>
      </c>
      <c r="C6" s="169" t="s">
        <v>84</v>
      </c>
      <c r="D6" s="172" t="s">
        <v>127</v>
      </c>
      <c r="E6" s="14"/>
      <c r="F6" s="24" t="s">
        <v>45</v>
      </c>
      <c r="G6" s="25">
        <v>3682.8700000000003</v>
      </c>
      <c r="H6" s="26">
        <v>142.28868000000003</v>
      </c>
      <c r="I6" s="26">
        <v>31.474256016000009</v>
      </c>
      <c r="J6" s="26">
        <v>173.76293601600003</v>
      </c>
      <c r="K6" s="27">
        <v>639946.30416524608</v>
      </c>
      <c r="L6" s="157" t="e">
        <f>K6/#REF!</f>
        <v>#REF!</v>
      </c>
      <c r="M6" s="157" t="e">
        <f>L6</f>
        <v>#REF!</v>
      </c>
      <c r="N6" s="146">
        <f t="shared" ref="N6:N26" si="0">IF(B6&gt;0,COUNTIF($B$1:$B$121602,B6),"")</f>
        <v>1</v>
      </c>
      <c r="O6" s="28"/>
      <c r="AR6" s="23"/>
    </row>
    <row r="7" spans="1:44" ht="50.1" customHeight="1">
      <c r="A7" s="22" t="s">
        <v>68</v>
      </c>
      <c r="B7" s="49" t="s">
        <v>85</v>
      </c>
      <c r="C7" s="169" t="s">
        <v>84</v>
      </c>
      <c r="D7" s="172" t="s">
        <v>124</v>
      </c>
      <c r="E7" s="14"/>
      <c r="F7" s="24" t="s">
        <v>45</v>
      </c>
      <c r="G7" s="25">
        <v>1283.6400000000001</v>
      </c>
      <c r="H7" s="26">
        <v>249.93</v>
      </c>
      <c r="I7" s="26">
        <v>55.284516000000004</v>
      </c>
      <c r="J7" s="26">
        <v>305.214516</v>
      </c>
      <c r="K7" s="27">
        <v>391785.56131824001</v>
      </c>
      <c r="L7" s="157" t="e">
        <f>K7/#REF!</f>
        <v>#REF!</v>
      </c>
      <c r="M7" s="157" t="e">
        <f>L7+M6</f>
        <v>#REF!</v>
      </c>
      <c r="N7" s="146">
        <f t="shared" si="0"/>
        <v>1</v>
      </c>
      <c r="O7" s="28"/>
      <c r="AR7" s="23"/>
    </row>
    <row r="8" spans="1:44" ht="54.75" customHeight="1">
      <c r="A8" s="22" t="s">
        <v>34</v>
      </c>
      <c r="B8" s="49">
        <v>73346</v>
      </c>
      <c r="C8" s="169" t="s">
        <v>82</v>
      </c>
      <c r="D8" s="172" t="s">
        <v>123</v>
      </c>
      <c r="E8" s="14"/>
      <c r="F8" s="24" t="s">
        <v>47</v>
      </c>
      <c r="G8" s="25">
        <v>195.10522299999997</v>
      </c>
      <c r="H8" s="26">
        <v>1401.65</v>
      </c>
      <c r="I8" s="26">
        <v>310.04498000000001</v>
      </c>
      <c r="J8" s="26">
        <v>1711.6949800000002</v>
      </c>
      <c r="K8" s="27">
        <v>333960.63078088051</v>
      </c>
      <c r="L8" s="157" t="e">
        <f>K8/#REF!</f>
        <v>#REF!</v>
      </c>
      <c r="M8" s="157" t="e">
        <f t="shared" ref="M8:M25" si="1">L8+M7</f>
        <v>#REF!</v>
      </c>
      <c r="N8" s="146">
        <f t="shared" si="0"/>
        <v>1</v>
      </c>
      <c r="O8" s="28"/>
      <c r="AR8" s="23"/>
    </row>
    <row r="9" spans="1:44" ht="50.1" customHeight="1">
      <c r="A9" s="22" t="s">
        <v>33</v>
      </c>
      <c r="B9" s="49">
        <v>84191</v>
      </c>
      <c r="C9" s="169" t="s">
        <v>82</v>
      </c>
      <c r="D9" s="172" t="s">
        <v>160</v>
      </c>
      <c r="E9" s="14"/>
      <c r="F9" s="24" t="s">
        <v>45</v>
      </c>
      <c r="G9" s="25">
        <v>4812.1730000000007</v>
      </c>
      <c r="H9" s="26">
        <v>55.39</v>
      </c>
      <c r="I9" s="26">
        <v>12.252268000000001</v>
      </c>
      <c r="J9" s="26">
        <v>67.642268000000001</v>
      </c>
      <c r="K9" s="27">
        <v>325506.29572836403</v>
      </c>
      <c r="L9" s="157" t="e">
        <f>K9/#REF!</f>
        <v>#REF!</v>
      </c>
      <c r="M9" s="157" t="e">
        <f t="shared" si="1"/>
        <v>#REF!</v>
      </c>
      <c r="N9" s="146">
        <f t="shared" si="0"/>
        <v>1</v>
      </c>
      <c r="O9" s="28"/>
      <c r="AR9" s="23"/>
    </row>
    <row r="10" spans="1:44" ht="50.1" customHeight="1">
      <c r="A10" s="33" t="s">
        <v>32</v>
      </c>
      <c r="B10" s="49">
        <v>73667</v>
      </c>
      <c r="C10" s="169" t="s">
        <v>82</v>
      </c>
      <c r="D10" s="172" t="s">
        <v>163</v>
      </c>
      <c r="E10" s="14"/>
      <c r="F10" s="24" t="s">
        <v>45</v>
      </c>
      <c r="G10" s="25">
        <v>3456.6021000000001</v>
      </c>
      <c r="H10" s="26">
        <v>70.33</v>
      </c>
      <c r="I10" s="26">
        <v>15.556996</v>
      </c>
      <c r="J10" s="26">
        <v>85.886995999999996</v>
      </c>
      <c r="K10" s="27">
        <v>296877.17073629162</v>
      </c>
      <c r="L10" s="157" t="e">
        <f>K10/#REF!</f>
        <v>#REF!</v>
      </c>
      <c r="M10" s="157" t="e">
        <f t="shared" si="1"/>
        <v>#REF!</v>
      </c>
      <c r="N10" s="146">
        <f t="shared" si="0"/>
        <v>1</v>
      </c>
      <c r="O10" s="28"/>
      <c r="AR10" s="23"/>
    </row>
    <row r="11" spans="1:44" ht="50.1" customHeight="1">
      <c r="A11" s="22" t="s">
        <v>69</v>
      </c>
      <c r="B11" s="49" t="s">
        <v>86</v>
      </c>
      <c r="C11" s="169" t="s">
        <v>84</v>
      </c>
      <c r="D11" s="172" t="s">
        <v>125</v>
      </c>
      <c r="E11" s="14"/>
      <c r="F11" s="24" t="s">
        <v>45</v>
      </c>
      <c r="G11" s="25">
        <v>1283.6400000000001</v>
      </c>
      <c r="H11" s="26">
        <v>180.85</v>
      </c>
      <c r="I11" s="26">
        <v>40.004019999999997</v>
      </c>
      <c r="J11" s="26">
        <v>220.85401999999999</v>
      </c>
      <c r="K11" s="27">
        <v>283497.05423280003</v>
      </c>
      <c r="L11" s="157" t="e">
        <f>K11/#REF!</f>
        <v>#REF!</v>
      </c>
      <c r="M11" s="157" t="e">
        <f t="shared" si="1"/>
        <v>#REF!</v>
      </c>
      <c r="N11" s="146">
        <f t="shared" si="0"/>
        <v>1</v>
      </c>
      <c r="O11" s="28"/>
      <c r="AR11" s="23"/>
    </row>
    <row r="12" spans="1:44" ht="50.1" customHeight="1">
      <c r="A12" s="35" t="s">
        <v>28</v>
      </c>
      <c r="B12" s="49" t="s">
        <v>87</v>
      </c>
      <c r="C12" s="169" t="s">
        <v>84</v>
      </c>
      <c r="D12" s="172" t="s">
        <v>126</v>
      </c>
      <c r="E12" s="14"/>
      <c r="F12" s="24" t="s">
        <v>45</v>
      </c>
      <c r="G12" s="25">
        <v>3682.8700000000003</v>
      </c>
      <c r="H12" s="26">
        <v>54.512</v>
      </c>
      <c r="I12" s="26">
        <v>12.058054400000001</v>
      </c>
      <c r="J12" s="26">
        <v>66.570054400000004</v>
      </c>
      <c r="K12" s="27">
        <v>245168.85624812802</v>
      </c>
      <c r="L12" s="157" t="e">
        <f>K12/#REF!</f>
        <v>#REF!</v>
      </c>
      <c r="M12" s="157" t="e">
        <f t="shared" si="1"/>
        <v>#REF!</v>
      </c>
      <c r="N12" s="146">
        <f t="shared" si="0"/>
        <v>1</v>
      </c>
      <c r="O12" s="28"/>
      <c r="AR12" s="23"/>
    </row>
    <row r="13" spans="1:44" ht="50.1" customHeight="1">
      <c r="A13" s="35" t="s">
        <v>38</v>
      </c>
      <c r="B13" s="49">
        <v>1</v>
      </c>
      <c r="C13" s="169" t="s">
        <v>159</v>
      </c>
      <c r="D13" s="172" t="s">
        <v>138</v>
      </c>
      <c r="E13" s="14"/>
      <c r="F13" s="24" t="s">
        <v>154</v>
      </c>
      <c r="G13" s="25">
        <v>5</v>
      </c>
      <c r="H13" s="26">
        <v>31933.595728082222</v>
      </c>
      <c r="I13" s="26">
        <v>7063.7113750517874</v>
      </c>
      <c r="J13" s="26">
        <v>38997.307103134008</v>
      </c>
      <c r="K13" s="27">
        <v>194986.53551567002</v>
      </c>
      <c r="L13" s="157" t="e">
        <f>K13/#REF!</f>
        <v>#REF!</v>
      </c>
      <c r="M13" s="157" t="e">
        <f t="shared" si="1"/>
        <v>#REF!</v>
      </c>
      <c r="N13" s="146">
        <f t="shared" si="0"/>
        <v>1</v>
      </c>
      <c r="O13" s="28"/>
      <c r="AR13" s="23"/>
    </row>
    <row r="14" spans="1:44" ht="50.1" customHeight="1">
      <c r="A14" s="33" t="s">
        <v>70</v>
      </c>
      <c r="B14" s="49" t="s">
        <v>94</v>
      </c>
      <c r="C14" s="169" t="s">
        <v>84</v>
      </c>
      <c r="D14" s="172" t="s">
        <v>93</v>
      </c>
      <c r="E14" s="14"/>
      <c r="F14" s="24" t="s">
        <v>45</v>
      </c>
      <c r="G14" s="25">
        <v>297.39999999999998</v>
      </c>
      <c r="H14" s="26">
        <v>512.84154000000001</v>
      </c>
      <c r="I14" s="26">
        <v>113.440548648</v>
      </c>
      <c r="J14" s="26">
        <v>626.28208864800001</v>
      </c>
      <c r="K14" s="27">
        <v>186256.29316391519</v>
      </c>
      <c r="L14" s="157" t="e">
        <f>K14/#REF!</f>
        <v>#REF!</v>
      </c>
      <c r="M14" s="157" t="e">
        <f t="shared" si="1"/>
        <v>#REF!</v>
      </c>
      <c r="N14" s="146">
        <f t="shared" si="0"/>
        <v>1</v>
      </c>
      <c r="O14" s="28"/>
      <c r="AR14" s="23"/>
    </row>
    <row r="15" spans="1:44" ht="50.1" customHeight="1">
      <c r="A15" s="35" t="s">
        <v>23</v>
      </c>
      <c r="B15" s="49" t="s">
        <v>166</v>
      </c>
      <c r="C15" s="169" t="s">
        <v>84</v>
      </c>
      <c r="D15" s="172" t="s">
        <v>167</v>
      </c>
      <c r="E15" s="14"/>
      <c r="F15" s="24" t="s">
        <v>81</v>
      </c>
      <c r="G15" s="25">
        <v>3108.2329999999988</v>
      </c>
      <c r="H15" s="26">
        <v>44.77</v>
      </c>
      <c r="I15" s="26">
        <v>9.9031240000000018</v>
      </c>
      <c r="J15" s="26">
        <v>54.673124000000001</v>
      </c>
      <c r="K15" s="27">
        <v>169936.80822989193</v>
      </c>
      <c r="L15" s="157" t="e">
        <f>K15/#REF!</f>
        <v>#REF!</v>
      </c>
      <c r="M15" s="157" t="e">
        <f t="shared" si="1"/>
        <v>#REF!</v>
      </c>
      <c r="N15" s="146">
        <f t="shared" si="0"/>
        <v>1</v>
      </c>
      <c r="O15" s="28"/>
      <c r="AR15" s="23"/>
    </row>
    <row r="16" spans="1:44" ht="50.1" customHeight="1">
      <c r="A16" s="35" t="s">
        <v>24</v>
      </c>
      <c r="B16" s="49">
        <v>6067</v>
      </c>
      <c r="C16" s="169" t="s">
        <v>82</v>
      </c>
      <c r="D16" s="172" t="s">
        <v>162</v>
      </c>
      <c r="E16" s="14"/>
      <c r="F16" s="24" t="s">
        <v>45</v>
      </c>
      <c r="G16" s="25">
        <v>5453.1740000000009</v>
      </c>
      <c r="H16" s="26">
        <v>19.260000000000002</v>
      </c>
      <c r="I16" s="26">
        <v>4.2603120000000008</v>
      </c>
      <c r="J16" s="26">
        <v>23.520312000000004</v>
      </c>
      <c r="K16" s="27">
        <v>128260.35387028805</v>
      </c>
      <c r="L16" s="157" t="e">
        <f>K16/#REF!</f>
        <v>#REF!</v>
      </c>
      <c r="M16" s="157" t="e">
        <f t="shared" si="1"/>
        <v>#REF!</v>
      </c>
      <c r="N16" s="146">
        <f t="shared" si="0"/>
        <v>1</v>
      </c>
      <c r="O16" s="28"/>
      <c r="AR16" s="23"/>
    </row>
    <row r="17" spans="1:44" ht="50.1" customHeight="1">
      <c r="A17" s="35" t="s">
        <v>63</v>
      </c>
      <c r="B17" s="49" t="s">
        <v>56</v>
      </c>
      <c r="C17" s="169" t="s">
        <v>82</v>
      </c>
      <c r="D17" s="172" t="s">
        <v>161</v>
      </c>
      <c r="E17" s="14"/>
      <c r="F17" s="24" t="s">
        <v>45</v>
      </c>
      <c r="G17" s="25">
        <v>5179.6129999999985</v>
      </c>
      <c r="H17" s="26">
        <v>20.11</v>
      </c>
      <c r="I17" s="26">
        <v>4.4483319999999997</v>
      </c>
      <c r="J17" s="26">
        <v>24.558332</v>
      </c>
      <c r="K17" s="27">
        <v>127202.65568551596</v>
      </c>
      <c r="L17" s="157" t="e">
        <f>K17/#REF!</f>
        <v>#REF!</v>
      </c>
      <c r="M17" s="157" t="e">
        <f t="shared" si="1"/>
        <v>#REF!</v>
      </c>
      <c r="N17" s="146">
        <f t="shared" si="0"/>
        <v>1</v>
      </c>
      <c r="O17" s="28"/>
      <c r="AR17" s="23"/>
    </row>
    <row r="18" spans="1:44" ht="50.1" customHeight="1">
      <c r="A18" s="22" t="s">
        <v>33</v>
      </c>
      <c r="B18" s="49" t="s">
        <v>53</v>
      </c>
      <c r="C18" s="169" t="s">
        <v>82</v>
      </c>
      <c r="D18" s="172" t="s">
        <v>54</v>
      </c>
      <c r="E18" s="14"/>
      <c r="F18" s="24" t="s">
        <v>45</v>
      </c>
      <c r="G18" s="25">
        <v>7160.0002999999979</v>
      </c>
      <c r="H18" s="26">
        <v>9.1999999999999993</v>
      </c>
      <c r="I18" s="26">
        <v>2.03504</v>
      </c>
      <c r="J18" s="26">
        <v>11.23504</v>
      </c>
      <c r="K18" s="27">
        <v>80442.889770511974</v>
      </c>
      <c r="L18" s="157" t="e">
        <f>K18/#REF!</f>
        <v>#REF!</v>
      </c>
      <c r="M18" s="157" t="e">
        <f t="shared" si="1"/>
        <v>#REF!</v>
      </c>
      <c r="N18" s="146">
        <f t="shared" si="0"/>
        <v>1</v>
      </c>
      <c r="O18" s="28"/>
      <c r="AR18" s="23"/>
    </row>
    <row r="19" spans="1:44" ht="50.1" customHeight="1">
      <c r="A19" s="35" t="s">
        <v>25</v>
      </c>
      <c r="B19" s="49" t="s">
        <v>43</v>
      </c>
      <c r="C19" s="169" t="s">
        <v>82</v>
      </c>
      <c r="D19" s="172" t="s">
        <v>42</v>
      </c>
      <c r="E19" s="14"/>
      <c r="F19" s="24" t="s">
        <v>45</v>
      </c>
      <c r="G19" s="25">
        <v>7119.5982999999978</v>
      </c>
      <c r="H19" s="26">
        <v>9.06</v>
      </c>
      <c r="I19" s="26">
        <v>2.0040720000000003</v>
      </c>
      <c r="J19" s="26">
        <v>11.064072000000001</v>
      </c>
      <c r="K19" s="27">
        <v>78771.74820227758</v>
      </c>
      <c r="L19" s="157" t="e">
        <f>K19/#REF!</f>
        <v>#REF!</v>
      </c>
      <c r="M19" s="157" t="e">
        <f t="shared" si="1"/>
        <v>#REF!</v>
      </c>
      <c r="N19" s="146">
        <f t="shared" si="0"/>
        <v>1</v>
      </c>
      <c r="O19" s="28"/>
      <c r="AR19" s="23"/>
    </row>
    <row r="20" spans="1:44" ht="50.1" customHeight="1">
      <c r="A20" s="33" t="s">
        <v>29</v>
      </c>
      <c r="B20" s="49" t="s">
        <v>128</v>
      </c>
      <c r="C20" s="169" t="s">
        <v>84</v>
      </c>
      <c r="D20" s="172" t="s">
        <v>156</v>
      </c>
      <c r="E20" s="14"/>
      <c r="F20" s="24" t="s">
        <v>90</v>
      </c>
      <c r="G20" s="25">
        <v>1118.816</v>
      </c>
      <c r="H20" s="26">
        <v>55.207999999999998</v>
      </c>
      <c r="I20" s="26">
        <v>12.2120096</v>
      </c>
      <c r="J20" s="26">
        <v>67.4200096</v>
      </c>
      <c r="K20" s="27">
        <v>75430.585460633607</v>
      </c>
      <c r="L20" s="157" t="e">
        <f>K20/#REF!</f>
        <v>#REF!</v>
      </c>
      <c r="M20" s="157" t="e">
        <f t="shared" si="1"/>
        <v>#REF!</v>
      </c>
      <c r="N20" s="146">
        <f t="shared" si="0"/>
        <v>1</v>
      </c>
      <c r="O20" s="28"/>
      <c r="AR20" s="23"/>
    </row>
    <row r="21" spans="1:44" ht="50.1" customHeight="1">
      <c r="A21" s="33" t="s">
        <v>30</v>
      </c>
      <c r="B21" s="49" t="s">
        <v>60</v>
      </c>
      <c r="C21" s="169" t="s">
        <v>82</v>
      </c>
      <c r="D21" s="172" t="s">
        <v>164</v>
      </c>
      <c r="E21" s="14"/>
      <c r="F21" s="24" t="s">
        <v>45</v>
      </c>
      <c r="G21" s="25">
        <v>479.17649999999998</v>
      </c>
      <c r="H21" s="26">
        <v>128.30000000000001</v>
      </c>
      <c r="I21" s="26">
        <v>28.379960000000004</v>
      </c>
      <c r="J21" s="26">
        <v>156.67996000000002</v>
      </c>
      <c r="K21" s="27">
        <v>75077.354852940014</v>
      </c>
      <c r="L21" s="157" t="e">
        <f>K21/#REF!</f>
        <v>#REF!</v>
      </c>
      <c r="M21" s="157" t="e">
        <f t="shared" si="1"/>
        <v>#REF!</v>
      </c>
      <c r="N21" s="146">
        <f t="shared" si="0"/>
        <v>1</v>
      </c>
      <c r="O21" s="28"/>
      <c r="AR21" s="16"/>
    </row>
    <row r="22" spans="1:44" ht="50.1" customHeight="1">
      <c r="A22" s="22" t="s">
        <v>31</v>
      </c>
      <c r="B22" s="49" t="s">
        <v>95</v>
      </c>
      <c r="C22" s="169" t="s">
        <v>84</v>
      </c>
      <c r="D22" s="172" t="s">
        <v>155</v>
      </c>
      <c r="E22" s="14"/>
      <c r="F22" s="24" t="s">
        <v>45</v>
      </c>
      <c r="G22" s="25">
        <v>240.16000000000003</v>
      </c>
      <c r="H22" s="26">
        <v>247.16200000000001</v>
      </c>
      <c r="I22" s="26">
        <v>54.672234400000001</v>
      </c>
      <c r="J22" s="26">
        <v>301.83423440000001</v>
      </c>
      <c r="K22" s="27">
        <v>72488.509733504005</v>
      </c>
      <c r="L22" s="157" t="e">
        <f>K22/#REF!</f>
        <v>#REF!</v>
      </c>
      <c r="M22" s="157" t="e">
        <f t="shared" si="1"/>
        <v>#REF!</v>
      </c>
      <c r="N22" s="146">
        <f t="shared" si="0"/>
        <v>1</v>
      </c>
      <c r="O22" s="28"/>
      <c r="AR22" s="23"/>
    </row>
    <row r="23" spans="1:44" ht="50.1" customHeight="1">
      <c r="A23" s="165" t="s">
        <v>26</v>
      </c>
      <c r="B23" s="49" t="s">
        <v>52</v>
      </c>
      <c r="C23" s="169" t="s">
        <v>82</v>
      </c>
      <c r="D23" s="172" t="s">
        <v>89</v>
      </c>
      <c r="E23" s="14"/>
      <c r="F23" s="24" t="s">
        <v>45</v>
      </c>
      <c r="G23" s="25">
        <v>1990.0050000000012</v>
      </c>
      <c r="H23" s="26">
        <v>28.81</v>
      </c>
      <c r="I23" s="26">
        <v>6.3727720000000003</v>
      </c>
      <c r="J23" s="26">
        <v>35.182772</v>
      </c>
      <c r="K23" s="27">
        <v>70013.89219386004</v>
      </c>
      <c r="L23" s="157" t="e">
        <f>K23/#REF!</f>
        <v>#REF!</v>
      </c>
      <c r="M23" s="157" t="e">
        <f t="shared" si="1"/>
        <v>#REF!</v>
      </c>
      <c r="N23" s="146">
        <f t="shared" si="0"/>
        <v>1</v>
      </c>
      <c r="O23" s="28"/>
      <c r="AR23" s="23"/>
    </row>
    <row r="24" spans="1:44" ht="50.1" customHeight="1">
      <c r="A24" s="165" t="s">
        <v>25</v>
      </c>
      <c r="B24" s="49" t="s">
        <v>83</v>
      </c>
      <c r="C24" s="169" t="s">
        <v>84</v>
      </c>
      <c r="D24" s="172" t="s">
        <v>158</v>
      </c>
      <c r="E24" s="14"/>
      <c r="F24" s="24" t="s">
        <v>91</v>
      </c>
      <c r="G24" s="25">
        <v>325</v>
      </c>
      <c r="H24" s="26">
        <v>156.96</v>
      </c>
      <c r="I24" s="26">
        <v>34.719552</v>
      </c>
      <c r="J24" s="26">
        <v>191.679552</v>
      </c>
      <c r="K24" s="27">
        <v>62295.854400000004</v>
      </c>
      <c r="L24" s="157" t="e">
        <f>K24/#REF!</f>
        <v>#REF!</v>
      </c>
      <c r="M24" s="157" t="e">
        <f t="shared" si="1"/>
        <v>#REF!</v>
      </c>
      <c r="N24" s="146">
        <f t="shared" si="0"/>
        <v>1</v>
      </c>
      <c r="O24" s="28"/>
      <c r="AR24" s="23"/>
    </row>
    <row r="25" spans="1:44" ht="50.1" customHeight="1">
      <c r="A25" s="165" t="s">
        <v>27</v>
      </c>
      <c r="B25" s="49">
        <v>79627</v>
      </c>
      <c r="C25" s="169" t="s">
        <v>82</v>
      </c>
      <c r="D25" s="172" t="s">
        <v>165</v>
      </c>
      <c r="E25" s="14"/>
      <c r="F25" s="24" t="s">
        <v>45</v>
      </c>
      <c r="G25" s="25">
        <v>129.791</v>
      </c>
      <c r="H25" s="26">
        <v>360.98</v>
      </c>
      <c r="I25" s="26">
        <v>79.848776000000001</v>
      </c>
      <c r="J25" s="26">
        <v>440.828776</v>
      </c>
      <c r="K25" s="27">
        <v>57215.607665816002</v>
      </c>
      <c r="L25" s="157" t="e">
        <f>K25/#REF!</f>
        <v>#REF!</v>
      </c>
      <c r="M25" s="157" t="e">
        <f t="shared" si="1"/>
        <v>#REF!</v>
      </c>
      <c r="N25" s="146">
        <f t="shared" si="0"/>
        <v>1</v>
      </c>
      <c r="O25" s="28"/>
      <c r="AR25" s="23"/>
    </row>
    <row r="26" spans="1:44" ht="18" hidden="1" customHeight="1">
      <c r="A26" s="29"/>
      <c r="B26" s="149"/>
      <c r="C26" s="21"/>
      <c r="D26" s="21"/>
      <c r="E26" s="21"/>
      <c r="F26" s="30"/>
      <c r="G26" s="21"/>
      <c r="H26" s="31"/>
      <c r="I26" s="31"/>
      <c r="J26" s="31"/>
      <c r="K26" s="32"/>
      <c r="L26" s="34"/>
      <c r="M26" s="34"/>
      <c r="N26" s="146" t="str">
        <f t="shared" si="0"/>
        <v/>
      </c>
      <c r="AR26" s="23"/>
    </row>
    <row r="27" spans="1:44" ht="21.75" customHeight="1">
      <c r="A27" s="827" t="s">
        <v>18</v>
      </c>
      <c r="B27" s="828"/>
      <c r="C27" s="828"/>
      <c r="D27" s="828"/>
      <c r="E27" s="828"/>
      <c r="F27" s="828"/>
      <c r="G27" s="828"/>
      <c r="H27" s="828"/>
      <c r="I27" s="828"/>
      <c r="J27" s="829"/>
      <c r="K27" s="36">
        <f>SUM(K6:K26)</f>
        <v>3895120.9619547748</v>
      </c>
      <c r="L27" s="830" t="e">
        <f>M25</f>
        <v>#REF!</v>
      </c>
      <c r="M27" s="831"/>
      <c r="N27" s="146" t="str">
        <f>IF(B27&gt;0,COUNTIF($B$26:$B$602,B27),"")</f>
        <v/>
      </c>
      <c r="P27" s="28"/>
      <c r="AR27" s="23"/>
    </row>
    <row r="28" spans="1:44">
      <c r="N28" s="37"/>
      <c r="AR28" s="23"/>
    </row>
    <row r="29" spans="1:44">
      <c r="K29" s="28" t="e">
        <f>#REF!</f>
        <v>#REF!</v>
      </c>
      <c r="N29" s="37"/>
      <c r="AR29" s="23"/>
    </row>
    <row r="30" spans="1:44" ht="22.5" customHeight="1">
      <c r="A30" s="832" t="s">
        <v>64</v>
      </c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156"/>
      <c r="M30" s="156" t="e">
        <f>K29-K27</f>
        <v>#REF!</v>
      </c>
      <c r="N30" s="5">
        <v>6846325.1598600717</v>
      </c>
      <c r="AR30" s="23"/>
    </row>
    <row r="31" spans="1:44" ht="13.5">
      <c r="AR31" s="13"/>
    </row>
    <row r="32" spans="1:44">
      <c r="AR32" s="23"/>
    </row>
    <row r="33" spans="44:44">
      <c r="AR33" s="23"/>
    </row>
    <row r="34" spans="44:44">
      <c r="AR34" s="23"/>
    </row>
    <row r="35" spans="44:44">
      <c r="AR35" s="23"/>
    </row>
    <row r="36" spans="44:44">
      <c r="AR36" s="23"/>
    </row>
    <row r="37" spans="44:44" ht="13.5">
      <c r="AR37" s="13"/>
    </row>
    <row r="38" spans="44:44">
      <c r="AR38" s="23"/>
    </row>
    <row r="39" spans="44:44">
      <c r="AR39" s="23"/>
    </row>
    <row r="40" spans="44:44">
      <c r="AR40" s="23"/>
    </row>
    <row r="41" spans="44:44">
      <c r="AR41" s="23"/>
    </row>
    <row r="42" spans="44:44">
      <c r="AR42" s="23"/>
    </row>
    <row r="43" spans="44:44">
      <c r="AR43" s="23"/>
    </row>
    <row r="44" spans="44:44">
      <c r="AR44" s="23"/>
    </row>
    <row r="45" spans="44:44">
      <c r="AR45" s="16"/>
    </row>
    <row r="46" spans="44:44" ht="13.5">
      <c r="AR46" s="15"/>
    </row>
    <row r="47" spans="44:44" ht="13.5">
      <c r="AR47" s="13"/>
    </row>
    <row r="48" spans="44:44">
      <c r="AR48" s="23"/>
    </row>
    <row r="49" spans="44:44">
      <c r="AR49" s="23"/>
    </row>
    <row r="50" spans="44:44">
      <c r="AR50" s="23"/>
    </row>
    <row r="51" spans="44:44">
      <c r="AR51" s="23"/>
    </row>
    <row r="52" spans="44:44">
      <c r="AR52" s="23"/>
    </row>
    <row r="53" spans="44:44">
      <c r="AR53" s="23"/>
    </row>
    <row r="54" spans="44:44">
      <c r="AR54" s="23"/>
    </row>
    <row r="55" spans="44:44">
      <c r="AR55" s="23"/>
    </row>
    <row r="56" spans="44:44">
      <c r="AR56" s="23"/>
    </row>
    <row r="57" spans="44:44">
      <c r="AR57" s="23"/>
    </row>
    <row r="58" spans="44:44" ht="13.5">
      <c r="AR58" s="13"/>
    </row>
    <row r="59" spans="44:44">
      <c r="AR59" s="23"/>
    </row>
    <row r="60" spans="44:44">
      <c r="AR60" s="23"/>
    </row>
    <row r="61" spans="44:44">
      <c r="AR61" s="23"/>
    </row>
    <row r="62" spans="44:44">
      <c r="AR62" s="23"/>
    </row>
    <row r="63" spans="44:44">
      <c r="AR63" s="23"/>
    </row>
    <row r="64" spans="44:44" ht="13.5">
      <c r="AR64" s="13"/>
    </row>
    <row r="65" spans="1:44">
      <c r="AR65" s="23"/>
    </row>
    <row r="66" spans="1:44">
      <c r="AR66" s="23"/>
    </row>
    <row r="67" spans="1:44">
      <c r="A67" s="833" t="s">
        <v>71</v>
      </c>
      <c r="B67" s="833"/>
      <c r="C67" s="833"/>
      <c r="D67" s="833"/>
      <c r="AR67" s="23"/>
    </row>
    <row r="68" spans="1:44" ht="23.25" customHeight="1">
      <c r="A68" s="38" t="s">
        <v>65</v>
      </c>
      <c r="B68" s="151" t="s">
        <v>66</v>
      </c>
      <c r="C68" s="39" t="s">
        <v>67</v>
      </c>
      <c r="D68" s="39" t="s">
        <v>72</v>
      </c>
      <c r="AR68" s="23"/>
    </row>
    <row r="69" spans="1:44">
      <c r="A69" s="40">
        <v>1</v>
      </c>
      <c r="B69" s="152" t="e">
        <f>#REF!</f>
        <v>#REF!</v>
      </c>
      <c r="C69" s="41" t="e">
        <f>IF(B69="",0,#REF!)</f>
        <v>#REF!</v>
      </c>
      <c r="D69" s="42" t="str">
        <f>IFERROR(C69/$K$27,"")</f>
        <v/>
      </c>
      <c r="AR69" s="23"/>
    </row>
    <row r="70" spans="1:44">
      <c r="A70" s="43">
        <v>2</v>
      </c>
      <c r="B70" s="153" t="e">
        <f>#REF!</f>
        <v>#REF!</v>
      </c>
      <c r="C70" s="44" t="e">
        <f>IF(B70="",0,#REF!)</f>
        <v>#REF!</v>
      </c>
      <c r="D70" s="45" t="str">
        <f t="shared" ref="D70:D82" si="2">IFERROR(C70/$K$27,"")</f>
        <v/>
      </c>
      <c r="AR70" s="16"/>
    </row>
    <row r="71" spans="1:44" ht="13.5">
      <c r="A71" s="40">
        <v>3</v>
      </c>
      <c r="B71" s="152" t="e">
        <f>#REF!</f>
        <v>#REF!</v>
      </c>
      <c r="C71" s="41" t="e">
        <f>IF(B71="",0,#REF!)</f>
        <v>#REF!</v>
      </c>
      <c r="D71" s="42" t="str">
        <f t="shared" si="2"/>
        <v/>
      </c>
      <c r="AR71" s="15"/>
    </row>
    <row r="72" spans="1:44" ht="13.5">
      <c r="A72" s="43">
        <v>4</v>
      </c>
      <c r="B72" s="153" t="e">
        <f>#REF!</f>
        <v>#REF!</v>
      </c>
      <c r="C72" s="44" t="e">
        <f>IF(B72="",0,#REF!)</f>
        <v>#REF!</v>
      </c>
      <c r="D72" s="45" t="str">
        <f t="shared" si="2"/>
        <v/>
      </c>
      <c r="AR72" s="13"/>
    </row>
    <row r="73" spans="1:44">
      <c r="A73" s="40">
        <v>5</v>
      </c>
      <c r="B73" s="152" t="e">
        <f>#REF!</f>
        <v>#REF!</v>
      </c>
      <c r="C73" s="41" t="e">
        <f>IF(B73="",0,#REF!)</f>
        <v>#REF!</v>
      </c>
      <c r="D73" s="42" t="str">
        <f t="shared" si="2"/>
        <v/>
      </c>
      <c r="AR73" s="23"/>
    </row>
    <row r="74" spans="1:44">
      <c r="A74" s="43">
        <v>6</v>
      </c>
      <c r="B74" s="153" t="e">
        <f>#REF!</f>
        <v>#REF!</v>
      </c>
      <c r="C74" s="44" t="e">
        <f>IF(B74="",0,#REF!)</f>
        <v>#REF!</v>
      </c>
      <c r="D74" s="45" t="str">
        <f t="shared" si="2"/>
        <v/>
      </c>
      <c r="AR74" s="23"/>
    </row>
    <row r="75" spans="1:44" ht="13.5">
      <c r="A75" s="40">
        <v>7</v>
      </c>
      <c r="B75" s="152" t="e">
        <f>#REF!</f>
        <v>#REF!</v>
      </c>
      <c r="C75" s="41" t="e">
        <f>IF(B75="",0,#REF!)</f>
        <v>#REF!</v>
      </c>
      <c r="D75" s="42" t="str">
        <f t="shared" si="2"/>
        <v/>
      </c>
      <c r="AR75" s="13"/>
    </row>
    <row r="76" spans="1:44">
      <c r="A76" s="43">
        <v>8</v>
      </c>
      <c r="B76" s="153" t="e">
        <f>#REF!</f>
        <v>#REF!</v>
      </c>
      <c r="C76" s="44" t="e">
        <f>IF(B76="",0,#REF!)</f>
        <v>#REF!</v>
      </c>
      <c r="D76" s="45" t="str">
        <f t="shared" si="2"/>
        <v/>
      </c>
      <c r="AR76" s="23"/>
    </row>
    <row r="77" spans="1:44">
      <c r="A77" s="40">
        <v>9</v>
      </c>
      <c r="B77" s="152" t="e">
        <f>#REF!</f>
        <v>#REF!</v>
      </c>
      <c r="C77" s="41" t="e">
        <f>IF(B77="",0,#REF!)</f>
        <v>#REF!</v>
      </c>
      <c r="D77" s="42" t="str">
        <f t="shared" si="2"/>
        <v/>
      </c>
      <c r="AR77" s="23"/>
    </row>
    <row r="78" spans="1:44" ht="13.5">
      <c r="A78" s="43">
        <v>10</v>
      </c>
      <c r="B78" s="153" t="e">
        <f>#REF!</f>
        <v>#REF!</v>
      </c>
      <c r="C78" s="44" t="e">
        <f>IF(B78="",0,#REF!)</f>
        <v>#REF!</v>
      </c>
      <c r="D78" s="45" t="str">
        <f t="shared" si="2"/>
        <v/>
      </c>
      <c r="AR78" s="13"/>
    </row>
    <row r="79" spans="1:44">
      <c r="A79" s="40">
        <v>11</v>
      </c>
      <c r="B79" s="152" t="e">
        <f>#REF!</f>
        <v>#REF!</v>
      </c>
      <c r="C79" s="41" t="e">
        <f>IF(B79="",0,#REF!)</f>
        <v>#REF!</v>
      </c>
      <c r="D79" s="42" t="str">
        <f t="shared" si="2"/>
        <v/>
      </c>
      <c r="AR79" s="23"/>
    </row>
    <row r="80" spans="1:44">
      <c r="A80" s="43">
        <v>12</v>
      </c>
      <c r="B80" s="153" t="e">
        <f>#REF!</f>
        <v>#REF!</v>
      </c>
      <c r="C80" s="44" t="e">
        <f>IF(B80="",0,#REF!)</f>
        <v>#REF!</v>
      </c>
      <c r="D80" s="45" t="str">
        <f t="shared" si="2"/>
        <v/>
      </c>
      <c r="AR80" s="23"/>
    </row>
    <row r="81" spans="1:44">
      <c r="A81" s="40">
        <v>13</v>
      </c>
      <c r="B81" s="152" t="e">
        <f>#REF!</f>
        <v>#REF!</v>
      </c>
      <c r="C81" s="41" t="e">
        <f>IF(B81="",0,#REF!)</f>
        <v>#REF!</v>
      </c>
      <c r="D81" s="42" t="str">
        <f t="shared" si="2"/>
        <v/>
      </c>
      <c r="AR81" s="17"/>
    </row>
    <row r="82" spans="1:44" ht="13.5">
      <c r="A82" s="43">
        <v>14</v>
      </c>
      <c r="B82" s="153" t="e">
        <f>#REF!</f>
        <v>#REF!</v>
      </c>
      <c r="C82" s="44" t="e">
        <f>IF(B82="",0,#REF!)</f>
        <v>#REF!</v>
      </c>
      <c r="D82" s="45" t="str">
        <f t="shared" si="2"/>
        <v/>
      </c>
      <c r="AR82" s="15"/>
    </row>
    <row r="83" spans="1:44">
      <c r="A83" s="40">
        <v>15</v>
      </c>
      <c r="B83" s="152" t="e">
        <f>#REF!</f>
        <v>#REF!</v>
      </c>
      <c r="C83" s="41" t="e">
        <f>IF(B83="",0,#REF!)</f>
        <v>#REF!</v>
      </c>
      <c r="AR83" s="49"/>
    </row>
    <row r="84" spans="1:44">
      <c r="B84" s="154"/>
      <c r="C84" s="46" t="e">
        <f>SUM(C69:C83)</f>
        <v>#REF!</v>
      </c>
      <c r="D84" s="47">
        <f>SUM(D69:D82)</f>
        <v>0</v>
      </c>
      <c r="AR84" s="49"/>
    </row>
    <row r="85" spans="1:44">
      <c r="AR85" s="49"/>
    </row>
    <row r="86" spans="1:44">
      <c r="AR86" s="49"/>
    </row>
    <row r="87" spans="1:44">
      <c r="AR87" s="49"/>
    </row>
    <row r="88" spans="1:44">
      <c r="AR88" s="49"/>
    </row>
    <row r="89" spans="1:44">
      <c r="AR89" s="49"/>
    </row>
    <row r="90" spans="1:44">
      <c r="AR90" s="49"/>
    </row>
    <row r="91" spans="1:44">
      <c r="AR91" s="49"/>
    </row>
    <row r="92" spans="1:44">
      <c r="AR92" s="49"/>
    </row>
    <row r="93" spans="1:44">
      <c r="AR93" s="49"/>
    </row>
    <row r="94" spans="1:44">
      <c r="AR94" s="49"/>
    </row>
    <row r="95" spans="1:44">
      <c r="AR95" s="49"/>
    </row>
    <row r="96" spans="1:44">
      <c r="AR96" s="49"/>
    </row>
    <row r="97" spans="44:44">
      <c r="AR97" s="49"/>
    </row>
    <row r="98" spans="44:44">
      <c r="AR98" s="49"/>
    </row>
    <row r="99" spans="44:44">
      <c r="AR99" s="49"/>
    </row>
    <row r="100" spans="44:44">
      <c r="AR100" s="23"/>
    </row>
    <row r="101" spans="44:44">
      <c r="AR101" s="23"/>
    </row>
    <row r="102" spans="44:44">
      <c r="AR102" s="23"/>
    </row>
    <row r="103" spans="44:44">
      <c r="AR103" s="23"/>
    </row>
    <row r="104" spans="44:44">
      <c r="AR104" s="23"/>
    </row>
    <row r="105" spans="44:44">
      <c r="AR105" s="23"/>
    </row>
    <row r="106" spans="44:44">
      <c r="AR106" s="23"/>
    </row>
    <row r="107" spans="44:44">
      <c r="AR107" s="23"/>
    </row>
    <row r="108" spans="44:44">
      <c r="AR108" s="23"/>
    </row>
    <row r="109" spans="44:44">
      <c r="AR109" s="23"/>
    </row>
    <row r="110" spans="44:44">
      <c r="AR110" s="23"/>
    </row>
    <row r="111" spans="44:44">
      <c r="AR111" s="23"/>
    </row>
    <row r="112" spans="44:44">
      <c r="AR112" s="23"/>
    </row>
    <row r="113" spans="44:44">
      <c r="AR113" s="23"/>
    </row>
    <row r="114" spans="44:44">
      <c r="AR114" s="23"/>
    </row>
    <row r="115" spans="44:44">
      <c r="AR115" s="23"/>
    </row>
    <row r="116" spans="44:44">
      <c r="AR116" s="23"/>
    </row>
    <row r="117" spans="44:44">
      <c r="AR117" s="23"/>
    </row>
    <row r="118" spans="44:44">
      <c r="AR118" s="23"/>
    </row>
    <row r="119" spans="44:44">
      <c r="AR119" s="23"/>
    </row>
    <row r="120" spans="44:44">
      <c r="AR120" s="23"/>
    </row>
    <row r="121" spans="44:44">
      <c r="AR121" s="23"/>
    </row>
    <row r="122" spans="44:44">
      <c r="AR122" s="23"/>
    </row>
    <row r="123" spans="44:44">
      <c r="AR123" s="23"/>
    </row>
    <row r="124" spans="44:44">
      <c r="AR124" s="23"/>
    </row>
    <row r="125" spans="44:44">
      <c r="AR125" s="23"/>
    </row>
    <row r="126" spans="44:44">
      <c r="AR126" s="16"/>
    </row>
    <row r="127" spans="44:44" ht="13.5">
      <c r="AR127" s="15"/>
    </row>
    <row r="128" spans="44:44">
      <c r="AR128" s="23"/>
    </row>
  </sheetData>
  <customSheetViews>
    <customSheetView guid="{BF95D06F-A801-4955-B76D-3C2C36D85037}" showPageBreaks="1" fitToPage="1" printArea="1" hiddenRows="1" hiddenColumns="1" state="hidden" topLeftCell="D1">
      <pageMargins left="0.39370078740157483" right="0.11811023622047245" top="0.39370078740157483" bottom="0.39370078740157483" header="0.31496062992125984" footer="0.31496062992125984"/>
      <pageSetup paperSize="9" scale="74" fitToHeight="0" orientation="landscape" r:id="rId1"/>
    </customSheetView>
    <customSheetView guid="{385977A3-6FE9-40C9-8548-2B73DA2662B2}" showPageBreaks="1" fitToPage="1" printArea="1" hiddenRows="1" hiddenColumns="1" state="hidden" topLeftCell="D1">
      <pageMargins left="0.39370078740157483" right="0.11811023622047245" top="0.39370078740157483" bottom="0.39370078740157483" header="0.31496062992125984" footer="0.31496062992125984"/>
      <pageSetup paperSize="9" scale="75" fitToHeight="0" orientation="landscape" r:id="rId2"/>
    </customSheetView>
  </customSheetViews>
  <mergeCells count="5">
    <mergeCell ref="A2:M2"/>
    <mergeCell ref="A27:J27"/>
    <mergeCell ref="L27:M27"/>
    <mergeCell ref="A30:K30"/>
    <mergeCell ref="A67:D67"/>
  </mergeCells>
  <conditionalFormatting sqref="AR26:AR30">
    <cfRule type="cellIs" dxfId="763" priority="426" operator="equal">
      <formula>#REF!</formula>
    </cfRule>
  </conditionalFormatting>
  <conditionalFormatting sqref="B4:C4">
    <cfRule type="cellIs" dxfId="762" priority="424" operator="equal">
      <formula>#REF!</formula>
    </cfRule>
  </conditionalFormatting>
  <conditionalFormatting sqref="B3">
    <cfRule type="cellIs" dxfId="761" priority="425" operator="equal">
      <formula>#REF!</formula>
    </cfRule>
  </conditionalFormatting>
  <conditionalFormatting sqref="AR1:AR2 AR31 AR37 AR45:AR47 AR58 AR64 AR70:AR72 AR75 AR78 AR81:AR82 AR126:AR127">
    <cfRule type="cellIs" dxfId="760" priority="423" operator="equal">
      <formula>#REF!</formula>
    </cfRule>
  </conditionalFormatting>
  <conditionalFormatting sqref="AR3">
    <cfRule type="cellIs" dxfId="759" priority="422" operator="equal">
      <formula>#REF!</formula>
    </cfRule>
  </conditionalFormatting>
  <conditionalFormatting sqref="AR4:AR5">
    <cfRule type="cellIs" dxfId="758" priority="421" operator="equal">
      <formula>#REF!</formula>
    </cfRule>
  </conditionalFormatting>
  <conditionalFormatting sqref="AR32:AR36">
    <cfRule type="cellIs" dxfId="757" priority="420" operator="equal">
      <formula>#REF!</formula>
    </cfRule>
  </conditionalFormatting>
  <conditionalFormatting sqref="AR38:AR44">
    <cfRule type="cellIs" dxfId="756" priority="419" operator="equal">
      <formula>#REF!</formula>
    </cfRule>
  </conditionalFormatting>
  <conditionalFormatting sqref="AR48:AR53">
    <cfRule type="cellIs" dxfId="755" priority="418" operator="equal">
      <formula>#REF!</formula>
    </cfRule>
  </conditionalFormatting>
  <conditionalFormatting sqref="AR54:AR57">
    <cfRule type="cellIs" dxfId="754" priority="417" operator="equal">
      <formula>#REF!</formula>
    </cfRule>
  </conditionalFormatting>
  <conditionalFormatting sqref="AR59:AR63">
    <cfRule type="cellIs" dxfId="753" priority="416" operator="equal">
      <formula>#REF!</formula>
    </cfRule>
  </conditionalFormatting>
  <conditionalFormatting sqref="AR65:AR69">
    <cfRule type="cellIs" dxfId="752" priority="415" operator="equal">
      <formula>#REF!</formula>
    </cfRule>
  </conditionalFormatting>
  <conditionalFormatting sqref="AR73:AR74">
    <cfRule type="cellIs" dxfId="751" priority="414" operator="equal">
      <formula>#REF!</formula>
    </cfRule>
  </conditionalFormatting>
  <conditionalFormatting sqref="AR76:AR77">
    <cfRule type="cellIs" dxfId="750" priority="413" operator="equal">
      <formula>#REF!</formula>
    </cfRule>
  </conditionalFormatting>
  <conditionalFormatting sqref="AR79:AR80">
    <cfRule type="cellIs" dxfId="749" priority="412" operator="equal">
      <formula>#REF!</formula>
    </cfRule>
  </conditionalFormatting>
  <conditionalFormatting sqref="AR83:AR125">
    <cfRule type="cellIs" dxfId="748" priority="411" operator="equal">
      <formula>#REF!</formula>
    </cfRule>
  </conditionalFormatting>
  <conditionalFormatting sqref="AR128">
    <cfRule type="cellIs" dxfId="747" priority="410" operator="equal">
      <formula>#REF!</formula>
    </cfRule>
  </conditionalFormatting>
  <conditionalFormatting sqref="N7:N26">
    <cfRule type="cellIs" dxfId="746" priority="409" operator="greaterThan">
      <formula>1</formula>
    </cfRule>
  </conditionalFormatting>
  <conditionalFormatting sqref="A7:A25 L6 G6:G25 C7:F25 H7:L25">
    <cfRule type="cellIs" dxfId="745" priority="406" operator="equal">
      <formula>$O$3</formula>
    </cfRule>
    <cfRule type="cellIs" dxfId="744" priority="407" operator="equal">
      <formula>$O$5</formula>
    </cfRule>
  </conditionalFormatting>
  <conditionalFormatting sqref="AR17">
    <cfRule type="cellIs" dxfId="743" priority="343" operator="equal">
      <formula>#REF!</formula>
    </cfRule>
  </conditionalFormatting>
  <conditionalFormatting sqref="AR7">
    <cfRule type="cellIs" dxfId="742" priority="342" operator="equal">
      <formula>#REF!</formula>
    </cfRule>
  </conditionalFormatting>
  <conditionalFormatting sqref="AR8">
    <cfRule type="cellIs" dxfId="741" priority="341" operator="equal">
      <formula>#REF!</formula>
    </cfRule>
  </conditionalFormatting>
  <conditionalFormatting sqref="AR10">
    <cfRule type="cellIs" dxfId="740" priority="340" operator="equal">
      <formula>#REF!</formula>
    </cfRule>
  </conditionalFormatting>
  <conditionalFormatting sqref="AR14">
    <cfRule type="cellIs" dxfId="739" priority="339" operator="equal">
      <formula>#REF!</formula>
    </cfRule>
  </conditionalFormatting>
  <conditionalFormatting sqref="AR9">
    <cfRule type="cellIs" dxfId="738" priority="338" operator="equal">
      <formula>#REF!</formula>
    </cfRule>
  </conditionalFormatting>
  <conditionalFormatting sqref="AR11">
    <cfRule type="cellIs" dxfId="737" priority="337" operator="equal">
      <formula>#REF!</formula>
    </cfRule>
  </conditionalFormatting>
  <conditionalFormatting sqref="AR13">
    <cfRule type="cellIs" dxfId="736" priority="336" operator="equal">
      <formula>#REF!</formula>
    </cfRule>
  </conditionalFormatting>
  <conditionalFormatting sqref="AR12">
    <cfRule type="cellIs" dxfId="735" priority="335" operator="equal">
      <formula>#REF!</formula>
    </cfRule>
  </conditionalFormatting>
  <conditionalFormatting sqref="AR15">
    <cfRule type="cellIs" dxfId="734" priority="334" operator="equal">
      <formula>#REF!</formula>
    </cfRule>
  </conditionalFormatting>
  <conditionalFormatting sqref="AR16">
    <cfRule type="cellIs" dxfId="733" priority="333" operator="equal">
      <formula>#REF!</formula>
    </cfRule>
  </conditionalFormatting>
  <conditionalFormatting sqref="AR18">
    <cfRule type="cellIs" dxfId="732" priority="332" operator="equal">
      <formula>#REF!</formula>
    </cfRule>
  </conditionalFormatting>
  <conditionalFormatting sqref="AR24 AR19">
    <cfRule type="cellIs" dxfId="731" priority="331" operator="equal">
      <formula>#REF!</formula>
    </cfRule>
  </conditionalFormatting>
  <conditionalFormatting sqref="AR25">
    <cfRule type="cellIs" dxfId="730" priority="330" operator="equal">
      <formula>#REF!</formula>
    </cfRule>
  </conditionalFormatting>
  <conditionalFormatting sqref="AR22:AR23">
    <cfRule type="cellIs" dxfId="729" priority="329" operator="equal">
      <formula>#REF!</formula>
    </cfRule>
  </conditionalFormatting>
  <conditionalFormatting sqref="AR21">
    <cfRule type="cellIs" dxfId="728" priority="328" operator="equal">
      <formula>#REF!</formula>
    </cfRule>
  </conditionalFormatting>
  <conditionalFormatting sqref="AR20">
    <cfRule type="cellIs" dxfId="727" priority="327" operator="equal">
      <formula>#REF!</formula>
    </cfRule>
  </conditionalFormatting>
  <conditionalFormatting sqref="N6">
    <cfRule type="cellIs" dxfId="726" priority="251" operator="greaterThan">
      <formula>1</formula>
    </cfRule>
  </conditionalFormatting>
  <conditionalFormatting sqref="AR6">
    <cfRule type="cellIs" dxfId="725" priority="250" operator="equal">
      <formula>#REF!</formula>
    </cfRule>
  </conditionalFormatting>
  <conditionalFormatting sqref="A6 C6:K6 M6:M25">
    <cfRule type="cellIs" dxfId="724" priority="247" operator="equal">
      <formula>$O$3</formula>
    </cfRule>
    <cfRule type="cellIs" dxfId="723" priority="248" operator="equal">
      <formula>$O$5</formula>
    </cfRule>
  </conditionalFormatting>
  <conditionalFormatting sqref="B19 B9:B15 B21:B25">
    <cfRule type="cellIs" dxfId="722" priority="133" operator="equal">
      <formula>#REF!</formula>
    </cfRule>
  </conditionalFormatting>
  <conditionalFormatting sqref="B6:B25">
    <cfRule type="cellIs" dxfId="721" priority="130" operator="equal">
      <formula>$O$3</formula>
    </cfRule>
    <cfRule type="cellIs" dxfId="720" priority="131" operator="equal">
      <formula>$O$5</formula>
    </cfRule>
  </conditionalFormatting>
  <conditionalFormatting sqref="B7 B18">
    <cfRule type="cellIs" dxfId="719" priority="118" operator="equal">
      <formula>#REF!</formula>
    </cfRule>
  </conditionalFormatting>
  <conditionalFormatting sqref="B6">
    <cfRule type="cellIs" dxfId="718" priority="117" operator="equal">
      <formula>#REF!</formula>
    </cfRule>
  </conditionalFormatting>
  <conditionalFormatting sqref="B8">
    <cfRule type="cellIs" dxfId="717" priority="116" operator="equal">
      <formula>#REF!</formula>
    </cfRule>
  </conditionalFormatting>
  <conditionalFormatting sqref="B16">
    <cfRule type="cellIs" dxfId="716" priority="115" operator="equal">
      <formula>#REF!</formula>
    </cfRule>
  </conditionalFormatting>
  <conditionalFormatting sqref="B17">
    <cfRule type="cellIs" dxfId="715" priority="114" operator="equal">
      <formula>#REF!</formula>
    </cfRule>
  </conditionalFormatting>
  <conditionalFormatting sqref="B20">
    <cfRule type="cellIs" dxfId="714" priority="113" operator="equal">
      <formula>#REF!</formula>
    </cfRule>
  </conditionalFormatting>
  <pageMargins left="0.39370078740157483" right="0.11811023622047245" top="0.39370078740157483" bottom="0.39370078740157483" header="0.31496062992125984" footer="0.31496062992125984"/>
  <pageSetup paperSize="9" scale="73" fitToHeight="0" orientation="landscape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08" operator="containsText" id="{6F38EBA4-17A8-41FE-89A9-37A379032296}">
            <xm:f>NOT(ISERROR(SEARCH($O$4,A6)))</xm:f>
            <xm:f>$O$4</xm:f>
            <x14:dxf>
              <fill>
                <patternFill>
                  <bgColor rgb="FF00B0F0"/>
                </patternFill>
              </fill>
            </x14:dxf>
          </x14:cfRule>
          <xm:sqref>A7:A25 L6 G6:G25 C7:F25 H7:L25</xm:sqref>
        </x14:conditionalFormatting>
        <x14:conditionalFormatting xmlns:xm="http://schemas.microsoft.com/office/excel/2006/main">
          <x14:cfRule type="containsText" priority="249" operator="containsText" id="{675FEAFA-1EC4-4191-A3D1-9C498FD122C4}">
            <xm:f>NOT(ISERROR(SEARCH($O$4,A6)))</xm:f>
            <xm:f>$O$4</xm:f>
            <x14:dxf>
              <fill>
                <patternFill>
                  <bgColor rgb="FF00B0F0"/>
                </patternFill>
              </fill>
            </x14:dxf>
          </x14:cfRule>
          <xm:sqref>A6 C6:K6 M6:M25</xm:sqref>
        </x14:conditionalFormatting>
        <x14:conditionalFormatting xmlns:xm="http://schemas.microsoft.com/office/excel/2006/main">
          <x14:cfRule type="containsText" priority="132" operator="containsText" id="{BD6FD1E2-FE17-4701-91E3-41F985A35C92}">
            <xm:f>NOT(ISERROR(SEARCH($O$4,B6)))</xm:f>
            <xm:f>$O$4</xm:f>
            <x14:dxf>
              <fill>
                <patternFill>
                  <bgColor rgb="FF00B0F0"/>
                </patternFill>
              </fill>
            </x14:dxf>
          </x14:cfRule>
          <xm:sqref>B6:B25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WWH36"/>
  <sheetViews>
    <sheetView workbookViewId="0">
      <selection sqref="A1:A18"/>
    </sheetView>
  </sheetViews>
  <sheetFormatPr defaultColWidth="7.140625" defaultRowHeight="15"/>
  <cols>
    <col min="1" max="1" width="7" style="53" customWidth="1"/>
    <col min="2" max="3" width="3.5703125" style="53" customWidth="1"/>
    <col min="4" max="4" width="7.85546875" style="53" customWidth="1"/>
    <col min="5" max="5" width="21.140625" style="53" customWidth="1"/>
    <col min="6" max="6" width="7.140625" style="53"/>
    <col min="7" max="7" width="11.85546875" style="53" customWidth="1"/>
    <col min="8" max="8" width="6.7109375" style="53" customWidth="1"/>
    <col min="9" max="9" width="13.140625" style="53" customWidth="1"/>
    <col min="10" max="10" width="6.85546875" style="53" customWidth="1"/>
    <col min="11" max="11" width="12" style="53" customWidth="1"/>
    <col min="12" max="12" width="6.85546875" style="53" customWidth="1"/>
    <col min="13" max="13" width="12" style="53" customWidth="1"/>
    <col min="14" max="14" width="7" style="53" customWidth="1"/>
    <col min="15" max="15" width="12" style="53" customWidth="1"/>
    <col min="16" max="16" width="16" style="53" customWidth="1"/>
    <col min="17" max="17" width="11.28515625" style="53" customWidth="1"/>
    <col min="18" max="18" width="12.7109375" style="53" customWidth="1"/>
    <col min="19" max="19" width="11.42578125" style="53" customWidth="1"/>
    <col min="20" max="20" width="6.28515625" style="53" customWidth="1"/>
    <col min="21" max="21" width="11.42578125" style="53" customWidth="1"/>
    <col min="22" max="22" width="7.140625" style="53"/>
    <col min="23" max="23" width="11.42578125" style="53" customWidth="1"/>
    <col min="24" max="26" width="7.140625" style="53" hidden="1" customWidth="1"/>
    <col min="27" max="252" width="11.42578125" style="53" customWidth="1"/>
    <col min="253" max="253" width="7" style="53" customWidth="1"/>
    <col min="254" max="255" width="3.5703125" style="53" customWidth="1"/>
    <col min="256" max="256" width="7.85546875" style="53" customWidth="1"/>
    <col min="257" max="257" width="21.140625" style="53" customWidth="1"/>
    <col min="258" max="258" width="7.140625" style="53"/>
    <col min="259" max="259" width="7" style="53" customWidth="1"/>
    <col min="260" max="261" width="3.5703125" style="53" customWidth="1"/>
    <col min="262" max="262" width="7.85546875" style="53" customWidth="1"/>
    <col min="263" max="263" width="21.140625" style="53" customWidth="1"/>
    <col min="264" max="264" width="7.140625" style="53"/>
    <col min="265" max="265" width="11.85546875" style="53" customWidth="1"/>
    <col min="266" max="266" width="6.7109375" style="53" customWidth="1"/>
    <col min="267" max="267" width="13.140625" style="53" customWidth="1"/>
    <col min="268" max="268" width="6.85546875" style="53" customWidth="1"/>
    <col min="269" max="269" width="12" style="53" customWidth="1"/>
    <col min="270" max="270" width="7" style="53" customWidth="1"/>
    <col min="271" max="271" width="12" style="53" customWidth="1"/>
    <col min="272" max="272" width="16" style="53" customWidth="1"/>
    <col min="273" max="273" width="6.85546875" style="53" customWidth="1"/>
    <col min="274" max="274" width="12.7109375" style="53" customWidth="1"/>
    <col min="275" max="275" width="11.42578125" style="53" customWidth="1"/>
    <col min="276" max="276" width="6.28515625" style="53" customWidth="1"/>
    <col min="277" max="277" width="11.42578125" style="53" customWidth="1"/>
    <col min="278" max="278" width="7.140625" style="53"/>
    <col min="279" max="279" width="11.42578125" style="53" customWidth="1"/>
    <col min="280" max="282" width="7.140625" style="53" hidden="1" customWidth="1"/>
    <col min="283" max="508" width="11.42578125" style="53" customWidth="1"/>
    <col min="509" max="509" width="7" style="53" customWidth="1"/>
    <col min="510" max="511" width="3.5703125" style="53" customWidth="1"/>
    <col min="512" max="512" width="7.85546875" style="53" customWidth="1"/>
    <col min="513" max="513" width="21.140625" style="53" customWidth="1"/>
    <col min="514" max="514" width="7.140625" style="53"/>
    <col min="515" max="515" width="7" style="53" customWidth="1"/>
    <col min="516" max="517" width="3.5703125" style="53" customWidth="1"/>
    <col min="518" max="518" width="7.85546875" style="53" customWidth="1"/>
    <col min="519" max="519" width="21.140625" style="53" customWidth="1"/>
    <col min="520" max="520" width="7.140625" style="53"/>
    <col min="521" max="521" width="11.85546875" style="53" customWidth="1"/>
    <col min="522" max="522" width="6.7109375" style="53" customWidth="1"/>
    <col min="523" max="523" width="13.140625" style="53" customWidth="1"/>
    <col min="524" max="524" width="6.85546875" style="53" customWidth="1"/>
    <col min="525" max="525" width="12" style="53" customWidth="1"/>
    <col min="526" max="526" width="7" style="53" customWidth="1"/>
    <col min="527" max="527" width="12" style="53" customWidth="1"/>
    <col min="528" max="528" width="16" style="53" customWidth="1"/>
    <col min="529" max="529" width="6.85546875" style="53" customWidth="1"/>
    <col min="530" max="530" width="12.7109375" style="53" customWidth="1"/>
    <col min="531" max="531" width="11.42578125" style="53" customWidth="1"/>
    <col min="532" max="532" width="6.28515625" style="53" customWidth="1"/>
    <col min="533" max="533" width="11.42578125" style="53" customWidth="1"/>
    <col min="534" max="534" width="7.140625" style="53"/>
    <col min="535" max="535" width="11.42578125" style="53" customWidth="1"/>
    <col min="536" max="538" width="7.140625" style="53" hidden="1" customWidth="1"/>
    <col min="539" max="764" width="11.42578125" style="53" customWidth="1"/>
    <col min="765" max="765" width="7" style="53" customWidth="1"/>
    <col min="766" max="767" width="3.5703125" style="53" customWidth="1"/>
    <col min="768" max="768" width="7.85546875" style="53" customWidth="1"/>
    <col min="769" max="769" width="21.140625" style="53" customWidth="1"/>
    <col min="770" max="770" width="7.140625" style="53"/>
    <col min="771" max="771" width="7" style="53" customWidth="1"/>
    <col min="772" max="773" width="3.5703125" style="53" customWidth="1"/>
    <col min="774" max="774" width="7.85546875" style="53" customWidth="1"/>
    <col min="775" max="775" width="21.140625" style="53" customWidth="1"/>
    <col min="776" max="776" width="7.140625" style="53"/>
    <col min="777" max="777" width="11.85546875" style="53" customWidth="1"/>
    <col min="778" max="778" width="6.7109375" style="53" customWidth="1"/>
    <col min="779" max="779" width="13.140625" style="53" customWidth="1"/>
    <col min="780" max="780" width="6.85546875" style="53" customWidth="1"/>
    <col min="781" max="781" width="12" style="53" customWidth="1"/>
    <col min="782" max="782" width="7" style="53" customWidth="1"/>
    <col min="783" max="783" width="12" style="53" customWidth="1"/>
    <col min="784" max="784" width="16" style="53" customWidth="1"/>
    <col min="785" max="785" width="6.85546875" style="53" customWidth="1"/>
    <col min="786" max="786" width="12.7109375" style="53" customWidth="1"/>
    <col min="787" max="787" width="11.42578125" style="53" customWidth="1"/>
    <col min="788" max="788" width="6.28515625" style="53" customWidth="1"/>
    <col min="789" max="789" width="11.42578125" style="53" customWidth="1"/>
    <col min="790" max="790" width="7.140625" style="53"/>
    <col min="791" max="791" width="11.42578125" style="53" customWidth="1"/>
    <col min="792" max="794" width="7.140625" style="53" hidden="1" customWidth="1"/>
    <col min="795" max="1020" width="11.42578125" style="53" customWidth="1"/>
    <col min="1021" max="1021" width="7" style="53" customWidth="1"/>
    <col min="1022" max="1023" width="3.5703125" style="53" customWidth="1"/>
    <col min="1024" max="1024" width="7.85546875" style="53" customWidth="1"/>
    <col min="1025" max="1025" width="21.140625" style="53" customWidth="1"/>
    <col min="1026" max="1026" width="7.140625" style="53"/>
    <col min="1027" max="1027" width="7" style="53" customWidth="1"/>
    <col min="1028" max="1029" width="3.5703125" style="53" customWidth="1"/>
    <col min="1030" max="1030" width="7.85546875" style="53" customWidth="1"/>
    <col min="1031" max="1031" width="21.140625" style="53" customWidth="1"/>
    <col min="1032" max="1032" width="7.140625" style="53"/>
    <col min="1033" max="1033" width="11.85546875" style="53" customWidth="1"/>
    <col min="1034" max="1034" width="6.7109375" style="53" customWidth="1"/>
    <col min="1035" max="1035" width="13.140625" style="53" customWidth="1"/>
    <col min="1036" max="1036" width="6.85546875" style="53" customWidth="1"/>
    <col min="1037" max="1037" width="12" style="53" customWidth="1"/>
    <col min="1038" max="1038" width="7" style="53" customWidth="1"/>
    <col min="1039" max="1039" width="12" style="53" customWidth="1"/>
    <col min="1040" max="1040" width="16" style="53" customWidth="1"/>
    <col min="1041" max="1041" width="6.85546875" style="53" customWidth="1"/>
    <col min="1042" max="1042" width="12.7109375" style="53" customWidth="1"/>
    <col min="1043" max="1043" width="11.42578125" style="53" customWidth="1"/>
    <col min="1044" max="1044" width="6.28515625" style="53" customWidth="1"/>
    <col min="1045" max="1045" width="11.42578125" style="53" customWidth="1"/>
    <col min="1046" max="1046" width="7.140625" style="53"/>
    <col min="1047" max="1047" width="11.42578125" style="53" customWidth="1"/>
    <col min="1048" max="1050" width="7.140625" style="53" hidden="1" customWidth="1"/>
    <col min="1051" max="1276" width="11.42578125" style="53" customWidth="1"/>
    <col min="1277" max="1277" width="7" style="53" customWidth="1"/>
    <col min="1278" max="1279" width="3.5703125" style="53" customWidth="1"/>
    <col min="1280" max="1280" width="7.85546875" style="53" customWidth="1"/>
    <col min="1281" max="1281" width="21.140625" style="53" customWidth="1"/>
    <col min="1282" max="1282" width="7.140625" style="53"/>
    <col min="1283" max="1283" width="7" style="53" customWidth="1"/>
    <col min="1284" max="1285" width="3.5703125" style="53" customWidth="1"/>
    <col min="1286" max="1286" width="7.85546875" style="53" customWidth="1"/>
    <col min="1287" max="1287" width="21.140625" style="53" customWidth="1"/>
    <col min="1288" max="1288" width="7.140625" style="53"/>
    <col min="1289" max="1289" width="11.85546875" style="53" customWidth="1"/>
    <col min="1290" max="1290" width="6.7109375" style="53" customWidth="1"/>
    <col min="1291" max="1291" width="13.140625" style="53" customWidth="1"/>
    <col min="1292" max="1292" width="6.85546875" style="53" customWidth="1"/>
    <col min="1293" max="1293" width="12" style="53" customWidth="1"/>
    <col min="1294" max="1294" width="7" style="53" customWidth="1"/>
    <col min="1295" max="1295" width="12" style="53" customWidth="1"/>
    <col min="1296" max="1296" width="16" style="53" customWidth="1"/>
    <col min="1297" max="1297" width="6.85546875" style="53" customWidth="1"/>
    <col min="1298" max="1298" width="12.7109375" style="53" customWidth="1"/>
    <col min="1299" max="1299" width="11.42578125" style="53" customWidth="1"/>
    <col min="1300" max="1300" width="6.28515625" style="53" customWidth="1"/>
    <col min="1301" max="1301" width="11.42578125" style="53" customWidth="1"/>
    <col min="1302" max="1302" width="7.140625" style="53"/>
    <col min="1303" max="1303" width="11.42578125" style="53" customWidth="1"/>
    <col min="1304" max="1306" width="7.140625" style="53" hidden="1" customWidth="1"/>
    <col min="1307" max="1532" width="11.42578125" style="53" customWidth="1"/>
    <col min="1533" max="1533" width="7" style="53" customWidth="1"/>
    <col min="1534" max="1535" width="3.5703125" style="53" customWidth="1"/>
    <col min="1536" max="1536" width="7.85546875" style="53" customWidth="1"/>
    <col min="1537" max="1537" width="21.140625" style="53" customWidth="1"/>
    <col min="1538" max="1538" width="7.140625" style="53"/>
    <col min="1539" max="1539" width="7" style="53" customWidth="1"/>
    <col min="1540" max="1541" width="3.5703125" style="53" customWidth="1"/>
    <col min="1542" max="1542" width="7.85546875" style="53" customWidth="1"/>
    <col min="1543" max="1543" width="21.140625" style="53" customWidth="1"/>
    <col min="1544" max="1544" width="7.140625" style="53"/>
    <col min="1545" max="1545" width="11.85546875" style="53" customWidth="1"/>
    <col min="1546" max="1546" width="6.7109375" style="53" customWidth="1"/>
    <col min="1547" max="1547" width="13.140625" style="53" customWidth="1"/>
    <col min="1548" max="1548" width="6.85546875" style="53" customWidth="1"/>
    <col min="1549" max="1549" width="12" style="53" customWidth="1"/>
    <col min="1550" max="1550" width="7" style="53" customWidth="1"/>
    <col min="1551" max="1551" width="12" style="53" customWidth="1"/>
    <col min="1552" max="1552" width="16" style="53" customWidth="1"/>
    <col min="1553" max="1553" width="6.85546875" style="53" customWidth="1"/>
    <col min="1554" max="1554" width="12.7109375" style="53" customWidth="1"/>
    <col min="1555" max="1555" width="11.42578125" style="53" customWidth="1"/>
    <col min="1556" max="1556" width="6.28515625" style="53" customWidth="1"/>
    <col min="1557" max="1557" width="11.42578125" style="53" customWidth="1"/>
    <col min="1558" max="1558" width="7.140625" style="53"/>
    <col min="1559" max="1559" width="11.42578125" style="53" customWidth="1"/>
    <col min="1560" max="1562" width="7.140625" style="53" hidden="1" customWidth="1"/>
    <col min="1563" max="1788" width="11.42578125" style="53" customWidth="1"/>
    <col min="1789" max="1789" width="7" style="53" customWidth="1"/>
    <col min="1790" max="1791" width="3.5703125" style="53" customWidth="1"/>
    <col min="1792" max="1792" width="7.85546875" style="53" customWidth="1"/>
    <col min="1793" max="1793" width="21.140625" style="53" customWidth="1"/>
    <col min="1794" max="1794" width="7.140625" style="53"/>
    <col min="1795" max="1795" width="7" style="53" customWidth="1"/>
    <col min="1796" max="1797" width="3.5703125" style="53" customWidth="1"/>
    <col min="1798" max="1798" width="7.85546875" style="53" customWidth="1"/>
    <col min="1799" max="1799" width="21.140625" style="53" customWidth="1"/>
    <col min="1800" max="1800" width="7.140625" style="53"/>
    <col min="1801" max="1801" width="11.85546875" style="53" customWidth="1"/>
    <col min="1802" max="1802" width="6.7109375" style="53" customWidth="1"/>
    <col min="1803" max="1803" width="13.140625" style="53" customWidth="1"/>
    <col min="1804" max="1804" width="6.85546875" style="53" customWidth="1"/>
    <col min="1805" max="1805" width="12" style="53" customWidth="1"/>
    <col min="1806" max="1806" width="7" style="53" customWidth="1"/>
    <col min="1807" max="1807" width="12" style="53" customWidth="1"/>
    <col min="1808" max="1808" width="16" style="53" customWidth="1"/>
    <col min="1809" max="1809" width="6.85546875" style="53" customWidth="1"/>
    <col min="1810" max="1810" width="12.7109375" style="53" customWidth="1"/>
    <col min="1811" max="1811" width="11.42578125" style="53" customWidth="1"/>
    <col min="1812" max="1812" width="6.28515625" style="53" customWidth="1"/>
    <col min="1813" max="1813" width="11.42578125" style="53" customWidth="1"/>
    <col min="1814" max="1814" width="7.140625" style="53"/>
    <col min="1815" max="1815" width="11.42578125" style="53" customWidth="1"/>
    <col min="1816" max="1818" width="7.140625" style="53" hidden="1" customWidth="1"/>
    <col min="1819" max="2044" width="11.42578125" style="53" customWidth="1"/>
    <col min="2045" max="2045" width="7" style="53" customWidth="1"/>
    <col min="2046" max="2047" width="3.5703125" style="53" customWidth="1"/>
    <col min="2048" max="2048" width="7.85546875" style="53" customWidth="1"/>
    <col min="2049" max="2049" width="21.140625" style="53" customWidth="1"/>
    <col min="2050" max="2050" width="7.140625" style="53"/>
    <col min="2051" max="2051" width="7" style="53" customWidth="1"/>
    <col min="2052" max="2053" width="3.5703125" style="53" customWidth="1"/>
    <col min="2054" max="2054" width="7.85546875" style="53" customWidth="1"/>
    <col min="2055" max="2055" width="21.140625" style="53" customWidth="1"/>
    <col min="2056" max="2056" width="7.140625" style="53"/>
    <col min="2057" max="2057" width="11.85546875" style="53" customWidth="1"/>
    <col min="2058" max="2058" width="6.7109375" style="53" customWidth="1"/>
    <col min="2059" max="2059" width="13.140625" style="53" customWidth="1"/>
    <col min="2060" max="2060" width="6.85546875" style="53" customWidth="1"/>
    <col min="2061" max="2061" width="12" style="53" customWidth="1"/>
    <col min="2062" max="2062" width="7" style="53" customWidth="1"/>
    <col min="2063" max="2063" width="12" style="53" customWidth="1"/>
    <col min="2064" max="2064" width="16" style="53" customWidth="1"/>
    <col min="2065" max="2065" width="6.85546875" style="53" customWidth="1"/>
    <col min="2066" max="2066" width="12.7109375" style="53" customWidth="1"/>
    <col min="2067" max="2067" width="11.42578125" style="53" customWidth="1"/>
    <col min="2068" max="2068" width="6.28515625" style="53" customWidth="1"/>
    <col min="2069" max="2069" width="11.42578125" style="53" customWidth="1"/>
    <col min="2070" max="2070" width="7.140625" style="53"/>
    <col min="2071" max="2071" width="11.42578125" style="53" customWidth="1"/>
    <col min="2072" max="2074" width="7.140625" style="53" hidden="1" customWidth="1"/>
    <col min="2075" max="2300" width="11.42578125" style="53" customWidth="1"/>
    <col min="2301" max="2301" width="7" style="53" customWidth="1"/>
    <col min="2302" max="2303" width="3.5703125" style="53" customWidth="1"/>
    <col min="2304" max="2304" width="7.85546875" style="53" customWidth="1"/>
    <col min="2305" max="2305" width="21.140625" style="53" customWidth="1"/>
    <col min="2306" max="2306" width="7.140625" style="53"/>
    <col min="2307" max="2307" width="7" style="53" customWidth="1"/>
    <col min="2308" max="2309" width="3.5703125" style="53" customWidth="1"/>
    <col min="2310" max="2310" width="7.85546875" style="53" customWidth="1"/>
    <col min="2311" max="2311" width="21.140625" style="53" customWidth="1"/>
    <col min="2312" max="2312" width="7.140625" style="53"/>
    <col min="2313" max="2313" width="11.85546875" style="53" customWidth="1"/>
    <col min="2314" max="2314" width="6.7109375" style="53" customWidth="1"/>
    <col min="2315" max="2315" width="13.140625" style="53" customWidth="1"/>
    <col min="2316" max="2316" width="6.85546875" style="53" customWidth="1"/>
    <col min="2317" max="2317" width="12" style="53" customWidth="1"/>
    <col min="2318" max="2318" width="7" style="53" customWidth="1"/>
    <col min="2319" max="2319" width="12" style="53" customWidth="1"/>
    <col min="2320" max="2320" width="16" style="53" customWidth="1"/>
    <col min="2321" max="2321" width="6.85546875" style="53" customWidth="1"/>
    <col min="2322" max="2322" width="12.7109375" style="53" customWidth="1"/>
    <col min="2323" max="2323" width="11.42578125" style="53" customWidth="1"/>
    <col min="2324" max="2324" width="6.28515625" style="53" customWidth="1"/>
    <col min="2325" max="2325" width="11.42578125" style="53" customWidth="1"/>
    <col min="2326" max="2326" width="7.140625" style="53"/>
    <col min="2327" max="2327" width="11.42578125" style="53" customWidth="1"/>
    <col min="2328" max="2330" width="7.140625" style="53" hidden="1" customWidth="1"/>
    <col min="2331" max="2556" width="11.42578125" style="53" customWidth="1"/>
    <col min="2557" max="2557" width="7" style="53" customWidth="1"/>
    <col min="2558" max="2559" width="3.5703125" style="53" customWidth="1"/>
    <col min="2560" max="2560" width="7.85546875" style="53" customWidth="1"/>
    <col min="2561" max="2561" width="21.140625" style="53" customWidth="1"/>
    <col min="2562" max="2562" width="7.140625" style="53"/>
    <col min="2563" max="2563" width="7" style="53" customWidth="1"/>
    <col min="2564" max="2565" width="3.5703125" style="53" customWidth="1"/>
    <col min="2566" max="2566" width="7.85546875" style="53" customWidth="1"/>
    <col min="2567" max="2567" width="21.140625" style="53" customWidth="1"/>
    <col min="2568" max="2568" width="7.140625" style="53"/>
    <col min="2569" max="2569" width="11.85546875" style="53" customWidth="1"/>
    <col min="2570" max="2570" width="6.7109375" style="53" customWidth="1"/>
    <col min="2571" max="2571" width="13.140625" style="53" customWidth="1"/>
    <col min="2572" max="2572" width="6.85546875" style="53" customWidth="1"/>
    <col min="2573" max="2573" width="12" style="53" customWidth="1"/>
    <col min="2574" max="2574" width="7" style="53" customWidth="1"/>
    <col min="2575" max="2575" width="12" style="53" customWidth="1"/>
    <col min="2576" max="2576" width="16" style="53" customWidth="1"/>
    <col min="2577" max="2577" width="6.85546875" style="53" customWidth="1"/>
    <col min="2578" max="2578" width="12.7109375" style="53" customWidth="1"/>
    <col min="2579" max="2579" width="11.42578125" style="53" customWidth="1"/>
    <col min="2580" max="2580" width="6.28515625" style="53" customWidth="1"/>
    <col min="2581" max="2581" width="11.42578125" style="53" customWidth="1"/>
    <col min="2582" max="2582" width="7.140625" style="53"/>
    <col min="2583" max="2583" width="11.42578125" style="53" customWidth="1"/>
    <col min="2584" max="2586" width="7.140625" style="53" hidden="1" customWidth="1"/>
    <col min="2587" max="2812" width="11.42578125" style="53" customWidth="1"/>
    <col min="2813" max="2813" width="7" style="53" customWidth="1"/>
    <col min="2814" max="2815" width="3.5703125" style="53" customWidth="1"/>
    <col min="2816" max="2816" width="7.85546875" style="53" customWidth="1"/>
    <col min="2817" max="2817" width="21.140625" style="53" customWidth="1"/>
    <col min="2818" max="2818" width="7.140625" style="53"/>
    <col min="2819" max="2819" width="7" style="53" customWidth="1"/>
    <col min="2820" max="2821" width="3.5703125" style="53" customWidth="1"/>
    <col min="2822" max="2822" width="7.85546875" style="53" customWidth="1"/>
    <col min="2823" max="2823" width="21.140625" style="53" customWidth="1"/>
    <col min="2824" max="2824" width="7.140625" style="53"/>
    <col min="2825" max="2825" width="11.85546875" style="53" customWidth="1"/>
    <col min="2826" max="2826" width="6.7109375" style="53" customWidth="1"/>
    <col min="2827" max="2827" width="13.140625" style="53" customWidth="1"/>
    <col min="2828" max="2828" width="6.85546875" style="53" customWidth="1"/>
    <col min="2829" max="2829" width="12" style="53" customWidth="1"/>
    <col min="2830" max="2830" width="7" style="53" customWidth="1"/>
    <col min="2831" max="2831" width="12" style="53" customWidth="1"/>
    <col min="2832" max="2832" width="16" style="53" customWidth="1"/>
    <col min="2833" max="2833" width="6.85546875" style="53" customWidth="1"/>
    <col min="2834" max="2834" width="12.7109375" style="53" customWidth="1"/>
    <col min="2835" max="2835" width="11.42578125" style="53" customWidth="1"/>
    <col min="2836" max="2836" width="6.28515625" style="53" customWidth="1"/>
    <col min="2837" max="2837" width="11.42578125" style="53" customWidth="1"/>
    <col min="2838" max="2838" width="7.140625" style="53"/>
    <col min="2839" max="2839" width="11.42578125" style="53" customWidth="1"/>
    <col min="2840" max="2842" width="7.140625" style="53" hidden="1" customWidth="1"/>
    <col min="2843" max="3068" width="11.42578125" style="53" customWidth="1"/>
    <col min="3069" max="3069" width="7" style="53" customWidth="1"/>
    <col min="3070" max="3071" width="3.5703125" style="53" customWidth="1"/>
    <col min="3072" max="3072" width="7.85546875" style="53" customWidth="1"/>
    <col min="3073" max="3073" width="21.140625" style="53" customWidth="1"/>
    <col min="3074" max="3074" width="7.140625" style="53"/>
    <col min="3075" max="3075" width="7" style="53" customWidth="1"/>
    <col min="3076" max="3077" width="3.5703125" style="53" customWidth="1"/>
    <col min="3078" max="3078" width="7.85546875" style="53" customWidth="1"/>
    <col min="3079" max="3079" width="21.140625" style="53" customWidth="1"/>
    <col min="3080" max="3080" width="7.140625" style="53"/>
    <col min="3081" max="3081" width="11.85546875" style="53" customWidth="1"/>
    <col min="3082" max="3082" width="6.7109375" style="53" customWidth="1"/>
    <col min="3083" max="3083" width="13.140625" style="53" customWidth="1"/>
    <col min="3084" max="3084" width="6.85546875" style="53" customWidth="1"/>
    <col min="3085" max="3085" width="12" style="53" customWidth="1"/>
    <col min="3086" max="3086" width="7" style="53" customWidth="1"/>
    <col min="3087" max="3087" width="12" style="53" customWidth="1"/>
    <col min="3088" max="3088" width="16" style="53" customWidth="1"/>
    <col min="3089" max="3089" width="6.85546875" style="53" customWidth="1"/>
    <col min="3090" max="3090" width="12.7109375" style="53" customWidth="1"/>
    <col min="3091" max="3091" width="11.42578125" style="53" customWidth="1"/>
    <col min="3092" max="3092" width="6.28515625" style="53" customWidth="1"/>
    <col min="3093" max="3093" width="11.42578125" style="53" customWidth="1"/>
    <col min="3094" max="3094" width="7.140625" style="53"/>
    <col min="3095" max="3095" width="11.42578125" style="53" customWidth="1"/>
    <col min="3096" max="3098" width="7.140625" style="53" hidden="1" customWidth="1"/>
    <col min="3099" max="3324" width="11.42578125" style="53" customWidth="1"/>
    <col min="3325" max="3325" width="7" style="53" customWidth="1"/>
    <col min="3326" max="3327" width="3.5703125" style="53" customWidth="1"/>
    <col min="3328" max="3328" width="7.85546875" style="53" customWidth="1"/>
    <col min="3329" max="3329" width="21.140625" style="53" customWidth="1"/>
    <col min="3330" max="3330" width="7.140625" style="53"/>
    <col min="3331" max="3331" width="7" style="53" customWidth="1"/>
    <col min="3332" max="3333" width="3.5703125" style="53" customWidth="1"/>
    <col min="3334" max="3334" width="7.85546875" style="53" customWidth="1"/>
    <col min="3335" max="3335" width="21.140625" style="53" customWidth="1"/>
    <col min="3336" max="3336" width="7.140625" style="53"/>
    <col min="3337" max="3337" width="11.85546875" style="53" customWidth="1"/>
    <col min="3338" max="3338" width="6.7109375" style="53" customWidth="1"/>
    <col min="3339" max="3339" width="13.140625" style="53" customWidth="1"/>
    <col min="3340" max="3340" width="6.85546875" style="53" customWidth="1"/>
    <col min="3341" max="3341" width="12" style="53" customWidth="1"/>
    <col min="3342" max="3342" width="7" style="53" customWidth="1"/>
    <col min="3343" max="3343" width="12" style="53" customWidth="1"/>
    <col min="3344" max="3344" width="16" style="53" customWidth="1"/>
    <col min="3345" max="3345" width="6.85546875" style="53" customWidth="1"/>
    <col min="3346" max="3346" width="12.7109375" style="53" customWidth="1"/>
    <col min="3347" max="3347" width="11.42578125" style="53" customWidth="1"/>
    <col min="3348" max="3348" width="6.28515625" style="53" customWidth="1"/>
    <col min="3349" max="3349" width="11.42578125" style="53" customWidth="1"/>
    <col min="3350" max="3350" width="7.140625" style="53"/>
    <col min="3351" max="3351" width="11.42578125" style="53" customWidth="1"/>
    <col min="3352" max="3354" width="7.140625" style="53" hidden="1" customWidth="1"/>
    <col min="3355" max="3580" width="11.42578125" style="53" customWidth="1"/>
    <col min="3581" max="3581" width="7" style="53" customWidth="1"/>
    <col min="3582" max="3583" width="3.5703125" style="53" customWidth="1"/>
    <col min="3584" max="3584" width="7.85546875" style="53" customWidth="1"/>
    <col min="3585" max="3585" width="21.140625" style="53" customWidth="1"/>
    <col min="3586" max="3586" width="7.140625" style="53"/>
    <col min="3587" max="3587" width="7" style="53" customWidth="1"/>
    <col min="3588" max="3589" width="3.5703125" style="53" customWidth="1"/>
    <col min="3590" max="3590" width="7.85546875" style="53" customWidth="1"/>
    <col min="3591" max="3591" width="21.140625" style="53" customWidth="1"/>
    <col min="3592" max="3592" width="7.140625" style="53"/>
    <col min="3593" max="3593" width="11.85546875" style="53" customWidth="1"/>
    <col min="3594" max="3594" width="6.7109375" style="53" customWidth="1"/>
    <col min="3595" max="3595" width="13.140625" style="53" customWidth="1"/>
    <col min="3596" max="3596" width="6.85546875" style="53" customWidth="1"/>
    <col min="3597" max="3597" width="12" style="53" customWidth="1"/>
    <col min="3598" max="3598" width="7" style="53" customWidth="1"/>
    <col min="3599" max="3599" width="12" style="53" customWidth="1"/>
    <col min="3600" max="3600" width="16" style="53" customWidth="1"/>
    <col min="3601" max="3601" width="6.85546875" style="53" customWidth="1"/>
    <col min="3602" max="3602" width="12.7109375" style="53" customWidth="1"/>
    <col min="3603" max="3603" width="11.42578125" style="53" customWidth="1"/>
    <col min="3604" max="3604" width="6.28515625" style="53" customWidth="1"/>
    <col min="3605" max="3605" width="11.42578125" style="53" customWidth="1"/>
    <col min="3606" max="3606" width="7.140625" style="53"/>
    <col min="3607" max="3607" width="11.42578125" style="53" customWidth="1"/>
    <col min="3608" max="3610" width="7.140625" style="53" hidden="1" customWidth="1"/>
    <col min="3611" max="3836" width="11.42578125" style="53" customWidth="1"/>
    <col min="3837" max="3837" width="7" style="53" customWidth="1"/>
    <col min="3838" max="3839" width="3.5703125" style="53" customWidth="1"/>
    <col min="3840" max="3840" width="7.85546875" style="53" customWidth="1"/>
    <col min="3841" max="3841" width="21.140625" style="53" customWidth="1"/>
    <col min="3842" max="3842" width="7.140625" style="53"/>
    <col min="3843" max="3843" width="7" style="53" customWidth="1"/>
    <col min="3844" max="3845" width="3.5703125" style="53" customWidth="1"/>
    <col min="3846" max="3846" width="7.85546875" style="53" customWidth="1"/>
    <col min="3847" max="3847" width="21.140625" style="53" customWidth="1"/>
    <col min="3848" max="3848" width="7.140625" style="53"/>
    <col min="3849" max="3849" width="11.85546875" style="53" customWidth="1"/>
    <col min="3850" max="3850" width="6.7109375" style="53" customWidth="1"/>
    <col min="3851" max="3851" width="13.140625" style="53" customWidth="1"/>
    <col min="3852" max="3852" width="6.85546875" style="53" customWidth="1"/>
    <col min="3853" max="3853" width="12" style="53" customWidth="1"/>
    <col min="3854" max="3854" width="7" style="53" customWidth="1"/>
    <col min="3855" max="3855" width="12" style="53" customWidth="1"/>
    <col min="3856" max="3856" width="16" style="53" customWidth="1"/>
    <col min="3857" max="3857" width="6.85546875" style="53" customWidth="1"/>
    <col min="3858" max="3858" width="12.7109375" style="53" customWidth="1"/>
    <col min="3859" max="3859" width="11.42578125" style="53" customWidth="1"/>
    <col min="3860" max="3860" width="6.28515625" style="53" customWidth="1"/>
    <col min="3861" max="3861" width="11.42578125" style="53" customWidth="1"/>
    <col min="3862" max="3862" width="7.140625" style="53"/>
    <col min="3863" max="3863" width="11.42578125" style="53" customWidth="1"/>
    <col min="3864" max="3866" width="7.140625" style="53" hidden="1" customWidth="1"/>
    <col min="3867" max="4092" width="11.42578125" style="53" customWidth="1"/>
    <col min="4093" max="4093" width="7" style="53" customWidth="1"/>
    <col min="4094" max="4095" width="3.5703125" style="53" customWidth="1"/>
    <col min="4096" max="4096" width="7.85546875" style="53" customWidth="1"/>
    <col min="4097" max="4097" width="21.140625" style="53" customWidth="1"/>
    <col min="4098" max="4098" width="7.140625" style="53"/>
    <col min="4099" max="4099" width="7" style="53" customWidth="1"/>
    <col min="4100" max="4101" width="3.5703125" style="53" customWidth="1"/>
    <col min="4102" max="4102" width="7.85546875" style="53" customWidth="1"/>
    <col min="4103" max="4103" width="21.140625" style="53" customWidth="1"/>
    <col min="4104" max="4104" width="7.140625" style="53"/>
    <col min="4105" max="4105" width="11.85546875" style="53" customWidth="1"/>
    <col min="4106" max="4106" width="6.7109375" style="53" customWidth="1"/>
    <col min="4107" max="4107" width="13.140625" style="53" customWidth="1"/>
    <col min="4108" max="4108" width="6.85546875" style="53" customWidth="1"/>
    <col min="4109" max="4109" width="12" style="53" customWidth="1"/>
    <col min="4110" max="4110" width="7" style="53" customWidth="1"/>
    <col min="4111" max="4111" width="12" style="53" customWidth="1"/>
    <col min="4112" max="4112" width="16" style="53" customWidth="1"/>
    <col min="4113" max="4113" width="6.85546875" style="53" customWidth="1"/>
    <col min="4114" max="4114" width="12.7109375" style="53" customWidth="1"/>
    <col min="4115" max="4115" width="11.42578125" style="53" customWidth="1"/>
    <col min="4116" max="4116" width="6.28515625" style="53" customWidth="1"/>
    <col min="4117" max="4117" width="11.42578125" style="53" customWidth="1"/>
    <col min="4118" max="4118" width="7.140625" style="53"/>
    <col min="4119" max="4119" width="11.42578125" style="53" customWidth="1"/>
    <col min="4120" max="4122" width="7.140625" style="53" hidden="1" customWidth="1"/>
    <col min="4123" max="4348" width="11.42578125" style="53" customWidth="1"/>
    <col min="4349" max="4349" width="7" style="53" customWidth="1"/>
    <col min="4350" max="4351" width="3.5703125" style="53" customWidth="1"/>
    <col min="4352" max="4352" width="7.85546875" style="53" customWidth="1"/>
    <col min="4353" max="4353" width="21.140625" style="53" customWidth="1"/>
    <col min="4354" max="4354" width="7.140625" style="53"/>
    <col min="4355" max="4355" width="7" style="53" customWidth="1"/>
    <col min="4356" max="4357" width="3.5703125" style="53" customWidth="1"/>
    <col min="4358" max="4358" width="7.85546875" style="53" customWidth="1"/>
    <col min="4359" max="4359" width="21.140625" style="53" customWidth="1"/>
    <col min="4360" max="4360" width="7.140625" style="53"/>
    <col min="4361" max="4361" width="11.85546875" style="53" customWidth="1"/>
    <col min="4362" max="4362" width="6.7109375" style="53" customWidth="1"/>
    <col min="4363" max="4363" width="13.140625" style="53" customWidth="1"/>
    <col min="4364" max="4364" width="6.85546875" style="53" customWidth="1"/>
    <col min="4365" max="4365" width="12" style="53" customWidth="1"/>
    <col min="4366" max="4366" width="7" style="53" customWidth="1"/>
    <col min="4367" max="4367" width="12" style="53" customWidth="1"/>
    <col min="4368" max="4368" width="16" style="53" customWidth="1"/>
    <col min="4369" max="4369" width="6.85546875" style="53" customWidth="1"/>
    <col min="4370" max="4370" width="12.7109375" style="53" customWidth="1"/>
    <col min="4371" max="4371" width="11.42578125" style="53" customWidth="1"/>
    <col min="4372" max="4372" width="6.28515625" style="53" customWidth="1"/>
    <col min="4373" max="4373" width="11.42578125" style="53" customWidth="1"/>
    <col min="4374" max="4374" width="7.140625" style="53"/>
    <col min="4375" max="4375" width="11.42578125" style="53" customWidth="1"/>
    <col min="4376" max="4378" width="7.140625" style="53" hidden="1" customWidth="1"/>
    <col min="4379" max="4604" width="11.42578125" style="53" customWidth="1"/>
    <col min="4605" max="4605" width="7" style="53" customWidth="1"/>
    <col min="4606" max="4607" width="3.5703125" style="53" customWidth="1"/>
    <col min="4608" max="4608" width="7.85546875" style="53" customWidth="1"/>
    <col min="4609" max="4609" width="21.140625" style="53" customWidth="1"/>
    <col min="4610" max="4610" width="7.140625" style="53"/>
    <col min="4611" max="4611" width="7" style="53" customWidth="1"/>
    <col min="4612" max="4613" width="3.5703125" style="53" customWidth="1"/>
    <col min="4614" max="4614" width="7.85546875" style="53" customWidth="1"/>
    <col min="4615" max="4615" width="21.140625" style="53" customWidth="1"/>
    <col min="4616" max="4616" width="7.140625" style="53"/>
    <col min="4617" max="4617" width="11.85546875" style="53" customWidth="1"/>
    <col min="4618" max="4618" width="6.7109375" style="53" customWidth="1"/>
    <col min="4619" max="4619" width="13.140625" style="53" customWidth="1"/>
    <col min="4620" max="4620" width="6.85546875" style="53" customWidth="1"/>
    <col min="4621" max="4621" width="12" style="53" customWidth="1"/>
    <col min="4622" max="4622" width="7" style="53" customWidth="1"/>
    <col min="4623" max="4623" width="12" style="53" customWidth="1"/>
    <col min="4624" max="4624" width="16" style="53" customWidth="1"/>
    <col min="4625" max="4625" width="6.85546875" style="53" customWidth="1"/>
    <col min="4626" max="4626" width="12.7109375" style="53" customWidth="1"/>
    <col min="4627" max="4627" width="11.42578125" style="53" customWidth="1"/>
    <col min="4628" max="4628" width="6.28515625" style="53" customWidth="1"/>
    <col min="4629" max="4629" width="11.42578125" style="53" customWidth="1"/>
    <col min="4630" max="4630" width="7.140625" style="53"/>
    <col min="4631" max="4631" width="11.42578125" style="53" customWidth="1"/>
    <col min="4632" max="4634" width="7.140625" style="53" hidden="1" customWidth="1"/>
    <col min="4635" max="4860" width="11.42578125" style="53" customWidth="1"/>
    <col min="4861" max="4861" width="7" style="53" customWidth="1"/>
    <col min="4862" max="4863" width="3.5703125" style="53" customWidth="1"/>
    <col min="4864" max="4864" width="7.85546875" style="53" customWidth="1"/>
    <col min="4865" max="4865" width="21.140625" style="53" customWidth="1"/>
    <col min="4866" max="4866" width="7.140625" style="53"/>
    <col min="4867" max="4867" width="7" style="53" customWidth="1"/>
    <col min="4868" max="4869" width="3.5703125" style="53" customWidth="1"/>
    <col min="4870" max="4870" width="7.85546875" style="53" customWidth="1"/>
    <col min="4871" max="4871" width="21.140625" style="53" customWidth="1"/>
    <col min="4872" max="4872" width="7.140625" style="53"/>
    <col min="4873" max="4873" width="11.85546875" style="53" customWidth="1"/>
    <col min="4874" max="4874" width="6.7109375" style="53" customWidth="1"/>
    <col min="4875" max="4875" width="13.140625" style="53" customWidth="1"/>
    <col min="4876" max="4876" width="6.85546875" style="53" customWidth="1"/>
    <col min="4877" max="4877" width="12" style="53" customWidth="1"/>
    <col min="4878" max="4878" width="7" style="53" customWidth="1"/>
    <col min="4879" max="4879" width="12" style="53" customWidth="1"/>
    <col min="4880" max="4880" width="16" style="53" customWidth="1"/>
    <col min="4881" max="4881" width="6.85546875" style="53" customWidth="1"/>
    <col min="4882" max="4882" width="12.7109375" style="53" customWidth="1"/>
    <col min="4883" max="4883" width="11.42578125" style="53" customWidth="1"/>
    <col min="4884" max="4884" width="6.28515625" style="53" customWidth="1"/>
    <col min="4885" max="4885" width="11.42578125" style="53" customWidth="1"/>
    <col min="4886" max="4886" width="7.140625" style="53"/>
    <col min="4887" max="4887" width="11.42578125" style="53" customWidth="1"/>
    <col min="4888" max="4890" width="7.140625" style="53" hidden="1" customWidth="1"/>
    <col min="4891" max="5116" width="11.42578125" style="53" customWidth="1"/>
    <col min="5117" max="5117" width="7" style="53" customWidth="1"/>
    <col min="5118" max="5119" width="3.5703125" style="53" customWidth="1"/>
    <col min="5120" max="5120" width="7.85546875" style="53" customWidth="1"/>
    <col min="5121" max="5121" width="21.140625" style="53" customWidth="1"/>
    <col min="5122" max="5122" width="7.140625" style="53"/>
    <col min="5123" max="5123" width="7" style="53" customWidth="1"/>
    <col min="5124" max="5125" width="3.5703125" style="53" customWidth="1"/>
    <col min="5126" max="5126" width="7.85546875" style="53" customWidth="1"/>
    <col min="5127" max="5127" width="21.140625" style="53" customWidth="1"/>
    <col min="5128" max="5128" width="7.140625" style="53"/>
    <col min="5129" max="5129" width="11.85546875" style="53" customWidth="1"/>
    <col min="5130" max="5130" width="6.7109375" style="53" customWidth="1"/>
    <col min="5131" max="5131" width="13.140625" style="53" customWidth="1"/>
    <col min="5132" max="5132" width="6.85546875" style="53" customWidth="1"/>
    <col min="5133" max="5133" width="12" style="53" customWidth="1"/>
    <col min="5134" max="5134" width="7" style="53" customWidth="1"/>
    <col min="5135" max="5135" width="12" style="53" customWidth="1"/>
    <col min="5136" max="5136" width="16" style="53" customWidth="1"/>
    <col min="5137" max="5137" width="6.85546875" style="53" customWidth="1"/>
    <col min="5138" max="5138" width="12.7109375" style="53" customWidth="1"/>
    <col min="5139" max="5139" width="11.42578125" style="53" customWidth="1"/>
    <col min="5140" max="5140" width="6.28515625" style="53" customWidth="1"/>
    <col min="5141" max="5141" width="11.42578125" style="53" customWidth="1"/>
    <col min="5142" max="5142" width="7.140625" style="53"/>
    <col min="5143" max="5143" width="11.42578125" style="53" customWidth="1"/>
    <col min="5144" max="5146" width="7.140625" style="53" hidden="1" customWidth="1"/>
    <col min="5147" max="5372" width="11.42578125" style="53" customWidth="1"/>
    <col min="5373" max="5373" width="7" style="53" customWidth="1"/>
    <col min="5374" max="5375" width="3.5703125" style="53" customWidth="1"/>
    <col min="5376" max="5376" width="7.85546875" style="53" customWidth="1"/>
    <col min="5377" max="5377" width="21.140625" style="53" customWidth="1"/>
    <col min="5378" max="5378" width="7.140625" style="53"/>
    <col min="5379" max="5379" width="7" style="53" customWidth="1"/>
    <col min="5380" max="5381" width="3.5703125" style="53" customWidth="1"/>
    <col min="5382" max="5382" width="7.85546875" style="53" customWidth="1"/>
    <col min="5383" max="5383" width="21.140625" style="53" customWidth="1"/>
    <col min="5384" max="5384" width="7.140625" style="53"/>
    <col min="5385" max="5385" width="11.85546875" style="53" customWidth="1"/>
    <col min="5386" max="5386" width="6.7109375" style="53" customWidth="1"/>
    <col min="5387" max="5387" width="13.140625" style="53" customWidth="1"/>
    <col min="5388" max="5388" width="6.85546875" style="53" customWidth="1"/>
    <col min="5389" max="5389" width="12" style="53" customWidth="1"/>
    <col min="5390" max="5390" width="7" style="53" customWidth="1"/>
    <col min="5391" max="5391" width="12" style="53" customWidth="1"/>
    <col min="5392" max="5392" width="16" style="53" customWidth="1"/>
    <col min="5393" max="5393" width="6.85546875" style="53" customWidth="1"/>
    <col min="5394" max="5394" width="12.7109375" style="53" customWidth="1"/>
    <col min="5395" max="5395" width="11.42578125" style="53" customWidth="1"/>
    <col min="5396" max="5396" width="6.28515625" style="53" customWidth="1"/>
    <col min="5397" max="5397" width="11.42578125" style="53" customWidth="1"/>
    <col min="5398" max="5398" width="7.140625" style="53"/>
    <col min="5399" max="5399" width="11.42578125" style="53" customWidth="1"/>
    <col min="5400" max="5402" width="7.140625" style="53" hidden="1" customWidth="1"/>
    <col min="5403" max="5628" width="11.42578125" style="53" customWidth="1"/>
    <col min="5629" max="5629" width="7" style="53" customWidth="1"/>
    <col min="5630" max="5631" width="3.5703125" style="53" customWidth="1"/>
    <col min="5632" max="5632" width="7.85546875" style="53" customWidth="1"/>
    <col min="5633" max="5633" width="21.140625" style="53" customWidth="1"/>
    <col min="5634" max="5634" width="7.140625" style="53"/>
    <col min="5635" max="5635" width="7" style="53" customWidth="1"/>
    <col min="5636" max="5637" width="3.5703125" style="53" customWidth="1"/>
    <col min="5638" max="5638" width="7.85546875" style="53" customWidth="1"/>
    <col min="5639" max="5639" width="21.140625" style="53" customWidth="1"/>
    <col min="5640" max="5640" width="7.140625" style="53"/>
    <col min="5641" max="5641" width="11.85546875" style="53" customWidth="1"/>
    <col min="5642" max="5642" width="6.7109375" style="53" customWidth="1"/>
    <col min="5643" max="5643" width="13.140625" style="53" customWidth="1"/>
    <col min="5644" max="5644" width="6.85546875" style="53" customWidth="1"/>
    <col min="5645" max="5645" width="12" style="53" customWidth="1"/>
    <col min="5646" max="5646" width="7" style="53" customWidth="1"/>
    <col min="5647" max="5647" width="12" style="53" customWidth="1"/>
    <col min="5648" max="5648" width="16" style="53" customWidth="1"/>
    <col min="5649" max="5649" width="6.85546875" style="53" customWidth="1"/>
    <col min="5650" max="5650" width="12.7109375" style="53" customWidth="1"/>
    <col min="5651" max="5651" width="11.42578125" style="53" customWidth="1"/>
    <col min="5652" max="5652" width="6.28515625" style="53" customWidth="1"/>
    <col min="5653" max="5653" width="11.42578125" style="53" customWidth="1"/>
    <col min="5654" max="5654" width="7.140625" style="53"/>
    <col min="5655" max="5655" width="11.42578125" style="53" customWidth="1"/>
    <col min="5656" max="5658" width="7.140625" style="53" hidden="1" customWidth="1"/>
    <col min="5659" max="5884" width="11.42578125" style="53" customWidth="1"/>
    <col min="5885" max="5885" width="7" style="53" customWidth="1"/>
    <col min="5886" max="5887" width="3.5703125" style="53" customWidth="1"/>
    <col min="5888" max="5888" width="7.85546875" style="53" customWidth="1"/>
    <col min="5889" max="5889" width="21.140625" style="53" customWidth="1"/>
    <col min="5890" max="5890" width="7.140625" style="53"/>
    <col min="5891" max="5891" width="7" style="53" customWidth="1"/>
    <col min="5892" max="5893" width="3.5703125" style="53" customWidth="1"/>
    <col min="5894" max="5894" width="7.85546875" style="53" customWidth="1"/>
    <col min="5895" max="5895" width="21.140625" style="53" customWidth="1"/>
    <col min="5896" max="5896" width="7.140625" style="53"/>
    <col min="5897" max="5897" width="11.85546875" style="53" customWidth="1"/>
    <col min="5898" max="5898" width="6.7109375" style="53" customWidth="1"/>
    <col min="5899" max="5899" width="13.140625" style="53" customWidth="1"/>
    <col min="5900" max="5900" width="6.85546875" style="53" customWidth="1"/>
    <col min="5901" max="5901" width="12" style="53" customWidth="1"/>
    <col min="5902" max="5902" width="7" style="53" customWidth="1"/>
    <col min="5903" max="5903" width="12" style="53" customWidth="1"/>
    <col min="5904" max="5904" width="16" style="53" customWidth="1"/>
    <col min="5905" max="5905" width="6.85546875" style="53" customWidth="1"/>
    <col min="5906" max="5906" width="12.7109375" style="53" customWidth="1"/>
    <col min="5907" max="5907" width="11.42578125" style="53" customWidth="1"/>
    <col min="5908" max="5908" width="6.28515625" style="53" customWidth="1"/>
    <col min="5909" max="5909" width="11.42578125" style="53" customWidth="1"/>
    <col min="5910" max="5910" width="7.140625" style="53"/>
    <col min="5911" max="5911" width="11.42578125" style="53" customWidth="1"/>
    <col min="5912" max="5914" width="7.140625" style="53" hidden="1" customWidth="1"/>
    <col min="5915" max="6140" width="11.42578125" style="53" customWidth="1"/>
    <col min="6141" max="6141" width="7" style="53" customWidth="1"/>
    <col min="6142" max="6143" width="3.5703125" style="53" customWidth="1"/>
    <col min="6144" max="6144" width="7.85546875" style="53" customWidth="1"/>
    <col min="6145" max="6145" width="21.140625" style="53" customWidth="1"/>
    <col min="6146" max="6146" width="7.140625" style="53"/>
    <col min="6147" max="6147" width="7" style="53" customWidth="1"/>
    <col min="6148" max="6149" width="3.5703125" style="53" customWidth="1"/>
    <col min="6150" max="6150" width="7.85546875" style="53" customWidth="1"/>
    <col min="6151" max="6151" width="21.140625" style="53" customWidth="1"/>
    <col min="6152" max="6152" width="7.140625" style="53"/>
    <col min="6153" max="6153" width="11.85546875" style="53" customWidth="1"/>
    <col min="6154" max="6154" width="6.7109375" style="53" customWidth="1"/>
    <col min="6155" max="6155" width="13.140625" style="53" customWidth="1"/>
    <col min="6156" max="6156" width="6.85546875" style="53" customWidth="1"/>
    <col min="6157" max="6157" width="12" style="53" customWidth="1"/>
    <col min="6158" max="6158" width="7" style="53" customWidth="1"/>
    <col min="6159" max="6159" width="12" style="53" customWidth="1"/>
    <col min="6160" max="6160" width="16" style="53" customWidth="1"/>
    <col min="6161" max="6161" width="6.85546875" style="53" customWidth="1"/>
    <col min="6162" max="6162" width="12.7109375" style="53" customWidth="1"/>
    <col min="6163" max="6163" width="11.42578125" style="53" customWidth="1"/>
    <col min="6164" max="6164" width="6.28515625" style="53" customWidth="1"/>
    <col min="6165" max="6165" width="11.42578125" style="53" customWidth="1"/>
    <col min="6166" max="6166" width="7.140625" style="53"/>
    <col min="6167" max="6167" width="11.42578125" style="53" customWidth="1"/>
    <col min="6168" max="6170" width="7.140625" style="53" hidden="1" customWidth="1"/>
    <col min="6171" max="6396" width="11.42578125" style="53" customWidth="1"/>
    <col min="6397" max="6397" width="7" style="53" customWidth="1"/>
    <col min="6398" max="6399" width="3.5703125" style="53" customWidth="1"/>
    <col min="6400" max="6400" width="7.85546875" style="53" customWidth="1"/>
    <col min="6401" max="6401" width="21.140625" style="53" customWidth="1"/>
    <col min="6402" max="6402" width="7.140625" style="53"/>
    <col min="6403" max="6403" width="7" style="53" customWidth="1"/>
    <col min="6404" max="6405" width="3.5703125" style="53" customWidth="1"/>
    <col min="6406" max="6406" width="7.85546875" style="53" customWidth="1"/>
    <col min="6407" max="6407" width="21.140625" style="53" customWidth="1"/>
    <col min="6408" max="6408" width="7.140625" style="53"/>
    <col min="6409" max="6409" width="11.85546875" style="53" customWidth="1"/>
    <col min="6410" max="6410" width="6.7109375" style="53" customWidth="1"/>
    <col min="6411" max="6411" width="13.140625" style="53" customWidth="1"/>
    <col min="6412" max="6412" width="6.85546875" style="53" customWidth="1"/>
    <col min="6413" max="6413" width="12" style="53" customWidth="1"/>
    <col min="6414" max="6414" width="7" style="53" customWidth="1"/>
    <col min="6415" max="6415" width="12" style="53" customWidth="1"/>
    <col min="6416" max="6416" width="16" style="53" customWidth="1"/>
    <col min="6417" max="6417" width="6.85546875" style="53" customWidth="1"/>
    <col min="6418" max="6418" width="12.7109375" style="53" customWidth="1"/>
    <col min="6419" max="6419" width="11.42578125" style="53" customWidth="1"/>
    <col min="6420" max="6420" width="6.28515625" style="53" customWidth="1"/>
    <col min="6421" max="6421" width="11.42578125" style="53" customWidth="1"/>
    <col min="6422" max="6422" width="7.140625" style="53"/>
    <col min="6423" max="6423" width="11.42578125" style="53" customWidth="1"/>
    <col min="6424" max="6426" width="7.140625" style="53" hidden="1" customWidth="1"/>
    <col min="6427" max="6652" width="11.42578125" style="53" customWidth="1"/>
    <col min="6653" max="6653" width="7" style="53" customWidth="1"/>
    <col min="6654" max="6655" width="3.5703125" style="53" customWidth="1"/>
    <col min="6656" max="6656" width="7.85546875" style="53" customWidth="1"/>
    <col min="6657" max="6657" width="21.140625" style="53" customWidth="1"/>
    <col min="6658" max="6658" width="7.140625" style="53"/>
    <col min="6659" max="6659" width="7" style="53" customWidth="1"/>
    <col min="6660" max="6661" width="3.5703125" style="53" customWidth="1"/>
    <col min="6662" max="6662" width="7.85546875" style="53" customWidth="1"/>
    <col min="6663" max="6663" width="21.140625" style="53" customWidth="1"/>
    <col min="6664" max="6664" width="7.140625" style="53"/>
    <col min="6665" max="6665" width="11.85546875" style="53" customWidth="1"/>
    <col min="6666" max="6666" width="6.7109375" style="53" customWidth="1"/>
    <col min="6667" max="6667" width="13.140625" style="53" customWidth="1"/>
    <col min="6668" max="6668" width="6.85546875" style="53" customWidth="1"/>
    <col min="6669" max="6669" width="12" style="53" customWidth="1"/>
    <col min="6670" max="6670" width="7" style="53" customWidth="1"/>
    <col min="6671" max="6671" width="12" style="53" customWidth="1"/>
    <col min="6672" max="6672" width="16" style="53" customWidth="1"/>
    <col min="6673" max="6673" width="6.85546875" style="53" customWidth="1"/>
    <col min="6674" max="6674" width="12.7109375" style="53" customWidth="1"/>
    <col min="6675" max="6675" width="11.42578125" style="53" customWidth="1"/>
    <col min="6676" max="6676" width="6.28515625" style="53" customWidth="1"/>
    <col min="6677" max="6677" width="11.42578125" style="53" customWidth="1"/>
    <col min="6678" max="6678" width="7.140625" style="53"/>
    <col min="6679" max="6679" width="11.42578125" style="53" customWidth="1"/>
    <col min="6680" max="6682" width="7.140625" style="53" hidden="1" customWidth="1"/>
    <col min="6683" max="6908" width="11.42578125" style="53" customWidth="1"/>
    <col min="6909" max="6909" width="7" style="53" customWidth="1"/>
    <col min="6910" max="6911" width="3.5703125" style="53" customWidth="1"/>
    <col min="6912" max="6912" width="7.85546875" style="53" customWidth="1"/>
    <col min="6913" max="6913" width="21.140625" style="53" customWidth="1"/>
    <col min="6914" max="6914" width="7.140625" style="53"/>
    <col min="6915" max="6915" width="7" style="53" customWidth="1"/>
    <col min="6916" max="6917" width="3.5703125" style="53" customWidth="1"/>
    <col min="6918" max="6918" width="7.85546875" style="53" customWidth="1"/>
    <col min="6919" max="6919" width="21.140625" style="53" customWidth="1"/>
    <col min="6920" max="6920" width="7.140625" style="53"/>
    <col min="6921" max="6921" width="11.85546875" style="53" customWidth="1"/>
    <col min="6922" max="6922" width="6.7109375" style="53" customWidth="1"/>
    <col min="6923" max="6923" width="13.140625" style="53" customWidth="1"/>
    <col min="6924" max="6924" width="6.85546875" style="53" customWidth="1"/>
    <col min="6925" max="6925" width="12" style="53" customWidth="1"/>
    <col min="6926" max="6926" width="7" style="53" customWidth="1"/>
    <col min="6927" max="6927" width="12" style="53" customWidth="1"/>
    <col min="6928" max="6928" width="16" style="53" customWidth="1"/>
    <col min="6929" max="6929" width="6.85546875" style="53" customWidth="1"/>
    <col min="6930" max="6930" width="12.7109375" style="53" customWidth="1"/>
    <col min="6931" max="6931" width="11.42578125" style="53" customWidth="1"/>
    <col min="6932" max="6932" width="6.28515625" style="53" customWidth="1"/>
    <col min="6933" max="6933" width="11.42578125" style="53" customWidth="1"/>
    <col min="6934" max="6934" width="7.140625" style="53"/>
    <col min="6935" max="6935" width="11.42578125" style="53" customWidth="1"/>
    <col min="6936" max="6938" width="7.140625" style="53" hidden="1" customWidth="1"/>
    <col min="6939" max="7164" width="11.42578125" style="53" customWidth="1"/>
    <col min="7165" max="7165" width="7" style="53" customWidth="1"/>
    <col min="7166" max="7167" width="3.5703125" style="53" customWidth="1"/>
    <col min="7168" max="7168" width="7.85546875" style="53" customWidth="1"/>
    <col min="7169" max="7169" width="21.140625" style="53" customWidth="1"/>
    <col min="7170" max="7170" width="7.140625" style="53"/>
    <col min="7171" max="7171" width="7" style="53" customWidth="1"/>
    <col min="7172" max="7173" width="3.5703125" style="53" customWidth="1"/>
    <col min="7174" max="7174" width="7.85546875" style="53" customWidth="1"/>
    <col min="7175" max="7175" width="21.140625" style="53" customWidth="1"/>
    <col min="7176" max="7176" width="7.140625" style="53"/>
    <col min="7177" max="7177" width="11.85546875" style="53" customWidth="1"/>
    <col min="7178" max="7178" width="6.7109375" style="53" customWidth="1"/>
    <col min="7179" max="7179" width="13.140625" style="53" customWidth="1"/>
    <col min="7180" max="7180" width="6.85546875" style="53" customWidth="1"/>
    <col min="7181" max="7181" width="12" style="53" customWidth="1"/>
    <col min="7182" max="7182" width="7" style="53" customWidth="1"/>
    <col min="7183" max="7183" width="12" style="53" customWidth="1"/>
    <col min="7184" max="7184" width="16" style="53" customWidth="1"/>
    <col min="7185" max="7185" width="6.85546875" style="53" customWidth="1"/>
    <col min="7186" max="7186" width="12.7109375" style="53" customWidth="1"/>
    <col min="7187" max="7187" width="11.42578125" style="53" customWidth="1"/>
    <col min="7188" max="7188" width="6.28515625" style="53" customWidth="1"/>
    <col min="7189" max="7189" width="11.42578125" style="53" customWidth="1"/>
    <col min="7190" max="7190" width="7.140625" style="53"/>
    <col min="7191" max="7191" width="11.42578125" style="53" customWidth="1"/>
    <col min="7192" max="7194" width="7.140625" style="53" hidden="1" customWidth="1"/>
    <col min="7195" max="7420" width="11.42578125" style="53" customWidth="1"/>
    <col min="7421" max="7421" width="7" style="53" customWidth="1"/>
    <col min="7422" max="7423" width="3.5703125" style="53" customWidth="1"/>
    <col min="7424" max="7424" width="7.85546875" style="53" customWidth="1"/>
    <col min="7425" max="7425" width="21.140625" style="53" customWidth="1"/>
    <col min="7426" max="7426" width="7.140625" style="53"/>
    <col min="7427" max="7427" width="7" style="53" customWidth="1"/>
    <col min="7428" max="7429" width="3.5703125" style="53" customWidth="1"/>
    <col min="7430" max="7430" width="7.85546875" style="53" customWidth="1"/>
    <col min="7431" max="7431" width="21.140625" style="53" customWidth="1"/>
    <col min="7432" max="7432" width="7.140625" style="53"/>
    <col min="7433" max="7433" width="11.85546875" style="53" customWidth="1"/>
    <col min="7434" max="7434" width="6.7109375" style="53" customWidth="1"/>
    <col min="7435" max="7435" width="13.140625" style="53" customWidth="1"/>
    <col min="7436" max="7436" width="6.85546875" style="53" customWidth="1"/>
    <col min="7437" max="7437" width="12" style="53" customWidth="1"/>
    <col min="7438" max="7438" width="7" style="53" customWidth="1"/>
    <col min="7439" max="7439" width="12" style="53" customWidth="1"/>
    <col min="7440" max="7440" width="16" style="53" customWidth="1"/>
    <col min="7441" max="7441" width="6.85546875" style="53" customWidth="1"/>
    <col min="7442" max="7442" width="12.7109375" style="53" customWidth="1"/>
    <col min="7443" max="7443" width="11.42578125" style="53" customWidth="1"/>
    <col min="7444" max="7444" width="6.28515625" style="53" customWidth="1"/>
    <col min="7445" max="7445" width="11.42578125" style="53" customWidth="1"/>
    <col min="7446" max="7446" width="7.140625" style="53"/>
    <col min="7447" max="7447" width="11.42578125" style="53" customWidth="1"/>
    <col min="7448" max="7450" width="7.140625" style="53" hidden="1" customWidth="1"/>
    <col min="7451" max="7676" width="11.42578125" style="53" customWidth="1"/>
    <col min="7677" max="7677" width="7" style="53" customWidth="1"/>
    <col min="7678" max="7679" width="3.5703125" style="53" customWidth="1"/>
    <col min="7680" max="7680" width="7.85546875" style="53" customWidth="1"/>
    <col min="7681" max="7681" width="21.140625" style="53" customWidth="1"/>
    <col min="7682" max="7682" width="7.140625" style="53"/>
    <col min="7683" max="7683" width="7" style="53" customWidth="1"/>
    <col min="7684" max="7685" width="3.5703125" style="53" customWidth="1"/>
    <col min="7686" max="7686" width="7.85546875" style="53" customWidth="1"/>
    <col min="7687" max="7687" width="21.140625" style="53" customWidth="1"/>
    <col min="7688" max="7688" width="7.140625" style="53"/>
    <col min="7689" max="7689" width="11.85546875" style="53" customWidth="1"/>
    <col min="7690" max="7690" width="6.7109375" style="53" customWidth="1"/>
    <col min="7691" max="7691" width="13.140625" style="53" customWidth="1"/>
    <col min="7692" max="7692" width="6.85546875" style="53" customWidth="1"/>
    <col min="7693" max="7693" width="12" style="53" customWidth="1"/>
    <col min="7694" max="7694" width="7" style="53" customWidth="1"/>
    <col min="7695" max="7695" width="12" style="53" customWidth="1"/>
    <col min="7696" max="7696" width="16" style="53" customWidth="1"/>
    <col min="7697" max="7697" width="6.85546875" style="53" customWidth="1"/>
    <col min="7698" max="7698" width="12.7109375" style="53" customWidth="1"/>
    <col min="7699" max="7699" width="11.42578125" style="53" customWidth="1"/>
    <col min="7700" max="7700" width="6.28515625" style="53" customWidth="1"/>
    <col min="7701" max="7701" width="11.42578125" style="53" customWidth="1"/>
    <col min="7702" max="7702" width="7.140625" style="53"/>
    <col min="7703" max="7703" width="11.42578125" style="53" customWidth="1"/>
    <col min="7704" max="7706" width="7.140625" style="53" hidden="1" customWidth="1"/>
    <col min="7707" max="7932" width="11.42578125" style="53" customWidth="1"/>
    <col min="7933" max="7933" width="7" style="53" customWidth="1"/>
    <col min="7934" max="7935" width="3.5703125" style="53" customWidth="1"/>
    <col min="7936" max="7936" width="7.85546875" style="53" customWidth="1"/>
    <col min="7937" max="7937" width="21.140625" style="53" customWidth="1"/>
    <col min="7938" max="7938" width="7.140625" style="53"/>
    <col min="7939" max="7939" width="7" style="53" customWidth="1"/>
    <col min="7940" max="7941" width="3.5703125" style="53" customWidth="1"/>
    <col min="7942" max="7942" width="7.85546875" style="53" customWidth="1"/>
    <col min="7943" max="7943" width="21.140625" style="53" customWidth="1"/>
    <col min="7944" max="7944" width="7.140625" style="53"/>
    <col min="7945" max="7945" width="11.85546875" style="53" customWidth="1"/>
    <col min="7946" max="7946" width="6.7109375" style="53" customWidth="1"/>
    <col min="7947" max="7947" width="13.140625" style="53" customWidth="1"/>
    <col min="7948" max="7948" width="6.85546875" style="53" customWidth="1"/>
    <col min="7949" max="7949" width="12" style="53" customWidth="1"/>
    <col min="7950" max="7950" width="7" style="53" customWidth="1"/>
    <col min="7951" max="7951" width="12" style="53" customWidth="1"/>
    <col min="7952" max="7952" width="16" style="53" customWidth="1"/>
    <col min="7953" max="7953" width="6.85546875" style="53" customWidth="1"/>
    <col min="7954" max="7954" width="12.7109375" style="53" customWidth="1"/>
    <col min="7955" max="7955" width="11.42578125" style="53" customWidth="1"/>
    <col min="7956" max="7956" width="6.28515625" style="53" customWidth="1"/>
    <col min="7957" max="7957" width="11.42578125" style="53" customWidth="1"/>
    <col min="7958" max="7958" width="7.140625" style="53"/>
    <col min="7959" max="7959" width="11.42578125" style="53" customWidth="1"/>
    <col min="7960" max="7962" width="7.140625" style="53" hidden="1" customWidth="1"/>
    <col min="7963" max="8188" width="11.42578125" style="53" customWidth="1"/>
    <col min="8189" max="8189" width="7" style="53" customWidth="1"/>
    <col min="8190" max="8191" width="3.5703125" style="53" customWidth="1"/>
    <col min="8192" max="8192" width="7.85546875" style="53" customWidth="1"/>
    <col min="8193" max="8193" width="21.140625" style="53" customWidth="1"/>
    <col min="8194" max="8194" width="7.140625" style="53"/>
    <col min="8195" max="8195" width="7" style="53" customWidth="1"/>
    <col min="8196" max="8197" width="3.5703125" style="53" customWidth="1"/>
    <col min="8198" max="8198" width="7.85546875" style="53" customWidth="1"/>
    <col min="8199" max="8199" width="21.140625" style="53" customWidth="1"/>
    <col min="8200" max="8200" width="7.140625" style="53"/>
    <col min="8201" max="8201" width="11.85546875" style="53" customWidth="1"/>
    <col min="8202" max="8202" width="6.7109375" style="53" customWidth="1"/>
    <col min="8203" max="8203" width="13.140625" style="53" customWidth="1"/>
    <col min="8204" max="8204" width="6.85546875" style="53" customWidth="1"/>
    <col min="8205" max="8205" width="12" style="53" customWidth="1"/>
    <col min="8206" max="8206" width="7" style="53" customWidth="1"/>
    <col min="8207" max="8207" width="12" style="53" customWidth="1"/>
    <col min="8208" max="8208" width="16" style="53" customWidth="1"/>
    <col min="8209" max="8209" width="6.85546875" style="53" customWidth="1"/>
    <col min="8210" max="8210" width="12.7109375" style="53" customWidth="1"/>
    <col min="8211" max="8211" width="11.42578125" style="53" customWidth="1"/>
    <col min="8212" max="8212" width="6.28515625" style="53" customWidth="1"/>
    <col min="8213" max="8213" width="11.42578125" style="53" customWidth="1"/>
    <col min="8214" max="8214" width="7.140625" style="53"/>
    <col min="8215" max="8215" width="11.42578125" style="53" customWidth="1"/>
    <col min="8216" max="8218" width="7.140625" style="53" hidden="1" customWidth="1"/>
    <col min="8219" max="8444" width="11.42578125" style="53" customWidth="1"/>
    <col min="8445" max="8445" width="7" style="53" customWidth="1"/>
    <col min="8446" max="8447" width="3.5703125" style="53" customWidth="1"/>
    <col min="8448" max="8448" width="7.85546875" style="53" customWidth="1"/>
    <col min="8449" max="8449" width="21.140625" style="53" customWidth="1"/>
    <col min="8450" max="8450" width="7.140625" style="53"/>
    <col min="8451" max="8451" width="7" style="53" customWidth="1"/>
    <col min="8452" max="8453" width="3.5703125" style="53" customWidth="1"/>
    <col min="8454" max="8454" width="7.85546875" style="53" customWidth="1"/>
    <col min="8455" max="8455" width="21.140625" style="53" customWidth="1"/>
    <col min="8456" max="8456" width="7.140625" style="53"/>
    <col min="8457" max="8457" width="11.85546875" style="53" customWidth="1"/>
    <col min="8458" max="8458" width="6.7109375" style="53" customWidth="1"/>
    <col min="8459" max="8459" width="13.140625" style="53" customWidth="1"/>
    <col min="8460" max="8460" width="6.85546875" style="53" customWidth="1"/>
    <col min="8461" max="8461" width="12" style="53" customWidth="1"/>
    <col min="8462" max="8462" width="7" style="53" customWidth="1"/>
    <col min="8463" max="8463" width="12" style="53" customWidth="1"/>
    <col min="8464" max="8464" width="16" style="53" customWidth="1"/>
    <col min="8465" max="8465" width="6.85546875" style="53" customWidth="1"/>
    <col min="8466" max="8466" width="12.7109375" style="53" customWidth="1"/>
    <col min="8467" max="8467" width="11.42578125" style="53" customWidth="1"/>
    <col min="8468" max="8468" width="6.28515625" style="53" customWidth="1"/>
    <col min="8469" max="8469" width="11.42578125" style="53" customWidth="1"/>
    <col min="8470" max="8470" width="7.140625" style="53"/>
    <col min="8471" max="8471" width="11.42578125" style="53" customWidth="1"/>
    <col min="8472" max="8474" width="7.140625" style="53" hidden="1" customWidth="1"/>
    <col min="8475" max="8700" width="11.42578125" style="53" customWidth="1"/>
    <col min="8701" max="8701" width="7" style="53" customWidth="1"/>
    <col min="8702" max="8703" width="3.5703125" style="53" customWidth="1"/>
    <col min="8704" max="8704" width="7.85546875" style="53" customWidth="1"/>
    <col min="8705" max="8705" width="21.140625" style="53" customWidth="1"/>
    <col min="8706" max="8706" width="7.140625" style="53"/>
    <col min="8707" max="8707" width="7" style="53" customWidth="1"/>
    <col min="8708" max="8709" width="3.5703125" style="53" customWidth="1"/>
    <col min="8710" max="8710" width="7.85546875" style="53" customWidth="1"/>
    <col min="8711" max="8711" width="21.140625" style="53" customWidth="1"/>
    <col min="8712" max="8712" width="7.140625" style="53"/>
    <col min="8713" max="8713" width="11.85546875" style="53" customWidth="1"/>
    <col min="8714" max="8714" width="6.7109375" style="53" customWidth="1"/>
    <col min="8715" max="8715" width="13.140625" style="53" customWidth="1"/>
    <col min="8716" max="8716" width="6.85546875" style="53" customWidth="1"/>
    <col min="8717" max="8717" width="12" style="53" customWidth="1"/>
    <col min="8718" max="8718" width="7" style="53" customWidth="1"/>
    <col min="8719" max="8719" width="12" style="53" customWidth="1"/>
    <col min="8720" max="8720" width="16" style="53" customWidth="1"/>
    <col min="8721" max="8721" width="6.85546875" style="53" customWidth="1"/>
    <col min="8722" max="8722" width="12.7109375" style="53" customWidth="1"/>
    <col min="8723" max="8723" width="11.42578125" style="53" customWidth="1"/>
    <col min="8724" max="8724" width="6.28515625" style="53" customWidth="1"/>
    <col min="8725" max="8725" width="11.42578125" style="53" customWidth="1"/>
    <col min="8726" max="8726" width="7.140625" style="53"/>
    <col min="8727" max="8727" width="11.42578125" style="53" customWidth="1"/>
    <col min="8728" max="8730" width="7.140625" style="53" hidden="1" customWidth="1"/>
    <col min="8731" max="8956" width="11.42578125" style="53" customWidth="1"/>
    <col min="8957" max="8957" width="7" style="53" customWidth="1"/>
    <col min="8958" max="8959" width="3.5703125" style="53" customWidth="1"/>
    <col min="8960" max="8960" width="7.85546875" style="53" customWidth="1"/>
    <col min="8961" max="8961" width="21.140625" style="53" customWidth="1"/>
    <col min="8962" max="8962" width="7.140625" style="53"/>
    <col min="8963" max="8963" width="7" style="53" customWidth="1"/>
    <col min="8964" max="8965" width="3.5703125" style="53" customWidth="1"/>
    <col min="8966" max="8966" width="7.85546875" style="53" customWidth="1"/>
    <col min="8967" max="8967" width="21.140625" style="53" customWidth="1"/>
    <col min="8968" max="8968" width="7.140625" style="53"/>
    <col min="8969" max="8969" width="11.85546875" style="53" customWidth="1"/>
    <col min="8970" max="8970" width="6.7109375" style="53" customWidth="1"/>
    <col min="8971" max="8971" width="13.140625" style="53" customWidth="1"/>
    <col min="8972" max="8972" width="6.85546875" style="53" customWidth="1"/>
    <col min="8973" max="8973" width="12" style="53" customWidth="1"/>
    <col min="8974" max="8974" width="7" style="53" customWidth="1"/>
    <col min="8975" max="8975" width="12" style="53" customWidth="1"/>
    <col min="8976" max="8976" width="16" style="53" customWidth="1"/>
    <col min="8977" max="8977" width="6.85546875" style="53" customWidth="1"/>
    <col min="8978" max="8978" width="12.7109375" style="53" customWidth="1"/>
    <col min="8979" max="8979" width="11.42578125" style="53" customWidth="1"/>
    <col min="8980" max="8980" width="6.28515625" style="53" customWidth="1"/>
    <col min="8981" max="8981" width="11.42578125" style="53" customWidth="1"/>
    <col min="8982" max="8982" width="7.140625" style="53"/>
    <col min="8983" max="8983" width="11.42578125" style="53" customWidth="1"/>
    <col min="8984" max="8986" width="7.140625" style="53" hidden="1" customWidth="1"/>
    <col min="8987" max="9212" width="11.42578125" style="53" customWidth="1"/>
    <col min="9213" max="9213" width="7" style="53" customWidth="1"/>
    <col min="9214" max="9215" width="3.5703125" style="53" customWidth="1"/>
    <col min="9216" max="9216" width="7.85546875" style="53" customWidth="1"/>
    <col min="9217" max="9217" width="21.140625" style="53" customWidth="1"/>
    <col min="9218" max="9218" width="7.140625" style="53"/>
    <col min="9219" max="9219" width="7" style="53" customWidth="1"/>
    <col min="9220" max="9221" width="3.5703125" style="53" customWidth="1"/>
    <col min="9222" max="9222" width="7.85546875" style="53" customWidth="1"/>
    <col min="9223" max="9223" width="21.140625" style="53" customWidth="1"/>
    <col min="9224" max="9224" width="7.140625" style="53"/>
    <col min="9225" max="9225" width="11.85546875" style="53" customWidth="1"/>
    <col min="9226" max="9226" width="6.7109375" style="53" customWidth="1"/>
    <col min="9227" max="9227" width="13.140625" style="53" customWidth="1"/>
    <col min="9228" max="9228" width="6.85546875" style="53" customWidth="1"/>
    <col min="9229" max="9229" width="12" style="53" customWidth="1"/>
    <col min="9230" max="9230" width="7" style="53" customWidth="1"/>
    <col min="9231" max="9231" width="12" style="53" customWidth="1"/>
    <col min="9232" max="9232" width="16" style="53" customWidth="1"/>
    <col min="9233" max="9233" width="6.85546875" style="53" customWidth="1"/>
    <col min="9234" max="9234" width="12.7109375" style="53" customWidth="1"/>
    <col min="9235" max="9235" width="11.42578125" style="53" customWidth="1"/>
    <col min="9236" max="9236" width="6.28515625" style="53" customWidth="1"/>
    <col min="9237" max="9237" width="11.42578125" style="53" customWidth="1"/>
    <col min="9238" max="9238" width="7.140625" style="53"/>
    <col min="9239" max="9239" width="11.42578125" style="53" customWidth="1"/>
    <col min="9240" max="9242" width="7.140625" style="53" hidden="1" customWidth="1"/>
    <col min="9243" max="9468" width="11.42578125" style="53" customWidth="1"/>
    <col min="9469" max="9469" width="7" style="53" customWidth="1"/>
    <col min="9470" max="9471" width="3.5703125" style="53" customWidth="1"/>
    <col min="9472" max="9472" width="7.85546875" style="53" customWidth="1"/>
    <col min="9473" max="9473" width="21.140625" style="53" customWidth="1"/>
    <col min="9474" max="9474" width="7.140625" style="53"/>
    <col min="9475" max="9475" width="7" style="53" customWidth="1"/>
    <col min="9476" max="9477" width="3.5703125" style="53" customWidth="1"/>
    <col min="9478" max="9478" width="7.85546875" style="53" customWidth="1"/>
    <col min="9479" max="9479" width="21.140625" style="53" customWidth="1"/>
    <col min="9480" max="9480" width="7.140625" style="53"/>
    <col min="9481" max="9481" width="11.85546875" style="53" customWidth="1"/>
    <col min="9482" max="9482" width="6.7109375" style="53" customWidth="1"/>
    <col min="9483" max="9483" width="13.140625" style="53" customWidth="1"/>
    <col min="9484" max="9484" width="6.85546875" style="53" customWidth="1"/>
    <col min="9485" max="9485" width="12" style="53" customWidth="1"/>
    <col min="9486" max="9486" width="7" style="53" customWidth="1"/>
    <col min="9487" max="9487" width="12" style="53" customWidth="1"/>
    <col min="9488" max="9488" width="16" style="53" customWidth="1"/>
    <col min="9489" max="9489" width="6.85546875" style="53" customWidth="1"/>
    <col min="9490" max="9490" width="12.7109375" style="53" customWidth="1"/>
    <col min="9491" max="9491" width="11.42578125" style="53" customWidth="1"/>
    <col min="9492" max="9492" width="6.28515625" style="53" customWidth="1"/>
    <col min="9493" max="9493" width="11.42578125" style="53" customWidth="1"/>
    <col min="9494" max="9494" width="7.140625" style="53"/>
    <col min="9495" max="9495" width="11.42578125" style="53" customWidth="1"/>
    <col min="9496" max="9498" width="7.140625" style="53" hidden="1" customWidth="1"/>
    <col min="9499" max="9724" width="11.42578125" style="53" customWidth="1"/>
    <col min="9725" max="9725" width="7" style="53" customWidth="1"/>
    <col min="9726" max="9727" width="3.5703125" style="53" customWidth="1"/>
    <col min="9728" max="9728" width="7.85546875" style="53" customWidth="1"/>
    <col min="9729" max="9729" width="21.140625" style="53" customWidth="1"/>
    <col min="9730" max="9730" width="7.140625" style="53"/>
    <col min="9731" max="9731" width="7" style="53" customWidth="1"/>
    <col min="9732" max="9733" width="3.5703125" style="53" customWidth="1"/>
    <col min="9734" max="9734" width="7.85546875" style="53" customWidth="1"/>
    <col min="9735" max="9735" width="21.140625" style="53" customWidth="1"/>
    <col min="9736" max="9736" width="7.140625" style="53"/>
    <col min="9737" max="9737" width="11.85546875" style="53" customWidth="1"/>
    <col min="9738" max="9738" width="6.7109375" style="53" customWidth="1"/>
    <col min="9739" max="9739" width="13.140625" style="53" customWidth="1"/>
    <col min="9740" max="9740" width="6.85546875" style="53" customWidth="1"/>
    <col min="9741" max="9741" width="12" style="53" customWidth="1"/>
    <col min="9742" max="9742" width="7" style="53" customWidth="1"/>
    <col min="9743" max="9743" width="12" style="53" customWidth="1"/>
    <col min="9744" max="9744" width="16" style="53" customWidth="1"/>
    <col min="9745" max="9745" width="6.85546875" style="53" customWidth="1"/>
    <col min="9746" max="9746" width="12.7109375" style="53" customWidth="1"/>
    <col min="9747" max="9747" width="11.42578125" style="53" customWidth="1"/>
    <col min="9748" max="9748" width="6.28515625" style="53" customWidth="1"/>
    <col min="9749" max="9749" width="11.42578125" style="53" customWidth="1"/>
    <col min="9750" max="9750" width="7.140625" style="53"/>
    <col min="9751" max="9751" width="11.42578125" style="53" customWidth="1"/>
    <col min="9752" max="9754" width="7.140625" style="53" hidden="1" customWidth="1"/>
    <col min="9755" max="9980" width="11.42578125" style="53" customWidth="1"/>
    <col min="9981" max="9981" width="7" style="53" customWidth="1"/>
    <col min="9982" max="9983" width="3.5703125" style="53" customWidth="1"/>
    <col min="9984" max="9984" width="7.85546875" style="53" customWidth="1"/>
    <col min="9985" max="9985" width="21.140625" style="53" customWidth="1"/>
    <col min="9986" max="9986" width="7.140625" style="53"/>
    <col min="9987" max="9987" width="7" style="53" customWidth="1"/>
    <col min="9988" max="9989" width="3.5703125" style="53" customWidth="1"/>
    <col min="9990" max="9990" width="7.85546875" style="53" customWidth="1"/>
    <col min="9991" max="9991" width="21.140625" style="53" customWidth="1"/>
    <col min="9992" max="9992" width="7.140625" style="53"/>
    <col min="9993" max="9993" width="11.85546875" style="53" customWidth="1"/>
    <col min="9994" max="9994" width="6.7109375" style="53" customWidth="1"/>
    <col min="9995" max="9995" width="13.140625" style="53" customWidth="1"/>
    <col min="9996" max="9996" width="6.85546875" style="53" customWidth="1"/>
    <col min="9997" max="9997" width="12" style="53" customWidth="1"/>
    <col min="9998" max="9998" width="7" style="53" customWidth="1"/>
    <col min="9999" max="9999" width="12" style="53" customWidth="1"/>
    <col min="10000" max="10000" width="16" style="53" customWidth="1"/>
    <col min="10001" max="10001" width="6.85546875" style="53" customWidth="1"/>
    <col min="10002" max="10002" width="12.7109375" style="53" customWidth="1"/>
    <col min="10003" max="10003" width="11.42578125" style="53" customWidth="1"/>
    <col min="10004" max="10004" width="6.28515625" style="53" customWidth="1"/>
    <col min="10005" max="10005" width="11.42578125" style="53" customWidth="1"/>
    <col min="10006" max="10006" width="7.140625" style="53"/>
    <col min="10007" max="10007" width="11.42578125" style="53" customWidth="1"/>
    <col min="10008" max="10010" width="7.140625" style="53" hidden="1" customWidth="1"/>
    <col min="10011" max="10236" width="11.42578125" style="53" customWidth="1"/>
    <col min="10237" max="10237" width="7" style="53" customWidth="1"/>
    <col min="10238" max="10239" width="3.5703125" style="53" customWidth="1"/>
    <col min="10240" max="10240" width="7.85546875" style="53" customWidth="1"/>
    <col min="10241" max="10241" width="21.140625" style="53" customWidth="1"/>
    <col min="10242" max="10242" width="7.140625" style="53"/>
    <col min="10243" max="10243" width="7" style="53" customWidth="1"/>
    <col min="10244" max="10245" width="3.5703125" style="53" customWidth="1"/>
    <col min="10246" max="10246" width="7.85546875" style="53" customWidth="1"/>
    <col min="10247" max="10247" width="21.140625" style="53" customWidth="1"/>
    <col min="10248" max="10248" width="7.140625" style="53"/>
    <col min="10249" max="10249" width="11.85546875" style="53" customWidth="1"/>
    <col min="10250" max="10250" width="6.7109375" style="53" customWidth="1"/>
    <col min="10251" max="10251" width="13.140625" style="53" customWidth="1"/>
    <col min="10252" max="10252" width="6.85546875" style="53" customWidth="1"/>
    <col min="10253" max="10253" width="12" style="53" customWidth="1"/>
    <col min="10254" max="10254" width="7" style="53" customWidth="1"/>
    <col min="10255" max="10255" width="12" style="53" customWidth="1"/>
    <col min="10256" max="10256" width="16" style="53" customWidth="1"/>
    <col min="10257" max="10257" width="6.85546875" style="53" customWidth="1"/>
    <col min="10258" max="10258" width="12.7109375" style="53" customWidth="1"/>
    <col min="10259" max="10259" width="11.42578125" style="53" customWidth="1"/>
    <col min="10260" max="10260" width="6.28515625" style="53" customWidth="1"/>
    <col min="10261" max="10261" width="11.42578125" style="53" customWidth="1"/>
    <col min="10262" max="10262" width="7.140625" style="53"/>
    <col min="10263" max="10263" width="11.42578125" style="53" customWidth="1"/>
    <col min="10264" max="10266" width="7.140625" style="53" hidden="1" customWidth="1"/>
    <col min="10267" max="10492" width="11.42578125" style="53" customWidth="1"/>
    <col min="10493" max="10493" width="7" style="53" customWidth="1"/>
    <col min="10494" max="10495" width="3.5703125" style="53" customWidth="1"/>
    <col min="10496" max="10496" width="7.85546875" style="53" customWidth="1"/>
    <col min="10497" max="10497" width="21.140625" style="53" customWidth="1"/>
    <col min="10498" max="10498" width="7.140625" style="53"/>
    <col min="10499" max="10499" width="7" style="53" customWidth="1"/>
    <col min="10500" max="10501" width="3.5703125" style="53" customWidth="1"/>
    <col min="10502" max="10502" width="7.85546875" style="53" customWidth="1"/>
    <col min="10503" max="10503" width="21.140625" style="53" customWidth="1"/>
    <col min="10504" max="10504" width="7.140625" style="53"/>
    <col min="10505" max="10505" width="11.85546875" style="53" customWidth="1"/>
    <col min="10506" max="10506" width="6.7109375" style="53" customWidth="1"/>
    <col min="10507" max="10507" width="13.140625" style="53" customWidth="1"/>
    <col min="10508" max="10508" width="6.85546875" style="53" customWidth="1"/>
    <col min="10509" max="10509" width="12" style="53" customWidth="1"/>
    <col min="10510" max="10510" width="7" style="53" customWidth="1"/>
    <col min="10511" max="10511" width="12" style="53" customWidth="1"/>
    <col min="10512" max="10512" width="16" style="53" customWidth="1"/>
    <col min="10513" max="10513" width="6.85546875" style="53" customWidth="1"/>
    <col min="10514" max="10514" width="12.7109375" style="53" customWidth="1"/>
    <col min="10515" max="10515" width="11.42578125" style="53" customWidth="1"/>
    <col min="10516" max="10516" width="6.28515625" style="53" customWidth="1"/>
    <col min="10517" max="10517" width="11.42578125" style="53" customWidth="1"/>
    <col min="10518" max="10518" width="7.140625" style="53"/>
    <col min="10519" max="10519" width="11.42578125" style="53" customWidth="1"/>
    <col min="10520" max="10522" width="7.140625" style="53" hidden="1" customWidth="1"/>
    <col min="10523" max="10748" width="11.42578125" style="53" customWidth="1"/>
    <col min="10749" max="10749" width="7" style="53" customWidth="1"/>
    <col min="10750" max="10751" width="3.5703125" style="53" customWidth="1"/>
    <col min="10752" max="10752" width="7.85546875" style="53" customWidth="1"/>
    <col min="10753" max="10753" width="21.140625" style="53" customWidth="1"/>
    <col min="10754" max="10754" width="7.140625" style="53"/>
    <col min="10755" max="10755" width="7" style="53" customWidth="1"/>
    <col min="10756" max="10757" width="3.5703125" style="53" customWidth="1"/>
    <col min="10758" max="10758" width="7.85546875" style="53" customWidth="1"/>
    <col min="10759" max="10759" width="21.140625" style="53" customWidth="1"/>
    <col min="10760" max="10760" width="7.140625" style="53"/>
    <col min="10761" max="10761" width="11.85546875" style="53" customWidth="1"/>
    <col min="10762" max="10762" width="6.7109375" style="53" customWidth="1"/>
    <col min="10763" max="10763" width="13.140625" style="53" customWidth="1"/>
    <col min="10764" max="10764" width="6.85546875" style="53" customWidth="1"/>
    <col min="10765" max="10765" width="12" style="53" customWidth="1"/>
    <col min="10766" max="10766" width="7" style="53" customWidth="1"/>
    <col min="10767" max="10767" width="12" style="53" customWidth="1"/>
    <col min="10768" max="10768" width="16" style="53" customWidth="1"/>
    <col min="10769" max="10769" width="6.85546875" style="53" customWidth="1"/>
    <col min="10770" max="10770" width="12.7109375" style="53" customWidth="1"/>
    <col min="10771" max="10771" width="11.42578125" style="53" customWidth="1"/>
    <col min="10772" max="10772" width="6.28515625" style="53" customWidth="1"/>
    <col min="10773" max="10773" width="11.42578125" style="53" customWidth="1"/>
    <col min="10774" max="10774" width="7.140625" style="53"/>
    <col min="10775" max="10775" width="11.42578125" style="53" customWidth="1"/>
    <col min="10776" max="10778" width="7.140625" style="53" hidden="1" customWidth="1"/>
    <col min="10779" max="11004" width="11.42578125" style="53" customWidth="1"/>
    <col min="11005" max="11005" width="7" style="53" customWidth="1"/>
    <col min="11006" max="11007" width="3.5703125" style="53" customWidth="1"/>
    <col min="11008" max="11008" width="7.85546875" style="53" customWidth="1"/>
    <col min="11009" max="11009" width="21.140625" style="53" customWidth="1"/>
    <col min="11010" max="11010" width="7.140625" style="53"/>
    <col min="11011" max="11011" width="7" style="53" customWidth="1"/>
    <col min="11012" max="11013" width="3.5703125" style="53" customWidth="1"/>
    <col min="11014" max="11014" width="7.85546875" style="53" customWidth="1"/>
    <col min="11015" max="11015" width="21.140625" style="53" customWidth="1"/>
    <col min="11016" max="11016" width="7.140625" style="53"/>
    <col min="11017" max="11017" width="11.85546875" style="53" customWidth="1"/>
    <col min="11018" max="11018" width="6.7109375" style="53" customWidth="1"/>
    <col min="11019" max="11019" width="13.140625" style="53" customWidth="1"/>
    <col min="11020" max="11020" width="6.85546875" style="53" customWidth="1"/>
    <col min="11021" max="11021" width="12" style="53" customWidth="1"/>
    <col min="11022" max="11022" width="7" style="53" customWidth="1"/>
    <col min="11023" max="11023" width="12" style="53" customWidth="1"/>
    <col min="11024" max="11024" width="16" style="53" customWidth="1"/>
    <col min="11025" max="11025" width="6.85546875" style="53" customWidth="1"/>
    <col min="11026" max="11026" width="12.7109375" style="53" customWidth="1"/>
    <col min="11027" max="11027" width="11.42578125" style="53" customWidth="1"/>
    <col min="11028" max="11028" width="6.28515625" style="53" customWidth="1"/>
    <col min="11029" max="11029" width="11.42578125" style="53" customWidth="1"/>
    <col min="11030" max="11030" width="7.140625" style="53"/>
    <col min="11031" max="11031" width="11.42578125" style="53" customWidth="1"/>
    <col min="11032" max="11034" width="7.140625" style="53" hidden="1" customWidth="1"/>
    <col min="11035" max="11260" width="11.42578125" style="53" customWidth="1"/>
    <col min="11261" max="11261" width="7" style="53" customWidth="1"/>
    <col min="11262" max="11263" width="3.5703125" style="53" customWidth="1"/>
    <col min="11264" max="11264" width="7.85546875" style="53" customWidth="1"/>
    <col min="11265" max="11265" width="21.140625" style="53" customWidth="1"/>
    <col min="11266" max="11266" width="7.140625" style="53"/>
    <col min="11267" max="11267" width="7" style="53" customWidth="1"/>
    <col min="11268" max="11269" width="3.5703125" style="53" customWidth="1"/>
    <col min="11270" max="11270" width="7.85546875" style="53" customWidth="1"/>
    <col min="11271" max="11271" width="21.140625" style="53" customWidth="1"/>
    <col min="11272" max="11272" width="7.140625" style="53"/>
    <col min="11273" max="11273" width="11.85546875" style="53" customWidth="1"/>
    <col min="11274" max="11274" width="6.7109375" style="53" customWidth="1"/>
    <col min="11275" max="11275" width="13.140625" style="53" customWidth="1"/>
    <col min="11276" max="11276" width="6.85546875" style="53" customWidth="1"/>
    <col min="11277" max="11277" width="12" style="53" customWidth="1"/>
    <col min="11278" max="11278" width="7" style="53" customWidth="1"/>
    <col min="11279" max="11279" width="12" style="53" customWidth="1"/>
    <col min="11280" max="11280" width="16" style="53" customWidth="1"/>
    <col min="11281" max="11281" width="6.85546875" style="53" customWidth="1"/>
    <col min="11282" max="11282" width="12.7109375" style="53" customWidth="1"/>
    <col min="11283" max="11283" width="11.42578125" style="53" customWidth="1"/>
    <col min="11284" max="11284" width="6.28515625" style="53" customWidth="1"/>
    <col min="11285" max="11285" width="11.42578125" style="53" customWidth="1"/>
    <col min="11286" max="11286" width="7.140625" style="53"/>
    <col min="11287" max="11287" width="11.42578125" style="53" customWidth="1"/>
    <col min="11288" max="11290" width="7.140625" style="53" hidden="1" customWidth="1"/>
    <col min="11291" max="11516" width="11.42578125" style="53" customWidth="1"/>
    <col min="11517" max="11517" width="7" style="53" customWidth="1"/>
    <col min="11518" max="11519" width="3.5703125" style="53" customWidth="1"/>
    <col min="11520" max="11520" width="7.85546875" style="53" customWidth="1"/>
    <col min="11521" max="11521" width="21.140625" style="53" customWidth="1"/>
    <col min="11522" max="11522" width="7.140625" style="53"/>
    <col min="11523" max="11523" width="7" style="53" customWidth="1"/>
    <col min="11524" max="11525" width="3.5703125" style="53" customWidth="1"/>
    <col min="11526" max="11526" width="7.85546875" style="53" customWidth="1"/>
    <col min="11527" max="11527" width="21.140625" style="53" customWidth="1"/>
    <col min="11528" max="11528" width="7.140625" style="53"/>
    <col min="11529" max="11529" width="11.85546875" style="53" customWidth="1"/>
    <col min="11530" max="11530" width="6.7109375" style="53" customWidth="1"/>
    <col min="11531" max="11531" width="13.140625" style="53" customWidth="1"/>
    <col min="11532" max="11532" width="6.85546875" style="53" customWidth="1"/>
    <col min="11533" max="11533" width="12" style="53" customWidth="1"/>
    <col min="11534" max="11534" width="7" style="53" customWidth="1"/>
    <col min="11535" max="11535" width="12" style="53" customWidth="1"/>
    <col min="11536" max="11536" width="16" style="53" customWidth="1"/>
    <col min="11537" max="11537" width="6.85546875" style="53" customWidth="1"/>
    <col min="11538" max="11538" width="12.7109375" style="53" customWidth="1"/>
    <col min="11539" max="11539" width="11.42578125" style="53" customWidth="1"/>
    <col min="11540" max="11540" width="6.28515625" style="53" customWidth="1"/>
    <col min="11541" max="11541" width="11.42578125" style="53" customWidth="1"/>
    <col min="11542" max="11542" width="7.140625" style="53"/>
    <col min="11543" max="11543" width="11.42578125" style="53" customWidth="1"/>
    <col min="11544" max="11546" width="7.140625" style="53" hidden="1" customWidth="1"/>
    <col min="11547" max="11772" width="11.42578125" style="53" customWidth="1"/>
    <col min="11773" max="11773" width="7" style="53" customWidth="1"/>
    <col min="11774" max="11775" width="3.5703125" style="53" customWidth="1"/>
    <col min="11776" max="11776" width="7.85546875" style="53" customWidth="1"/>
    <col min="11777" max="11777" width="21.140625" style="53" customWidth="1"/>
    <col min="11778" max="11778" width="7.140625" style="53"/>
    <col min="11779" max="11779" width="7" style="53" customWidth="1"/>
    <col min="11780" max="11781" width="3.5703125" style="53" customWidth="1"/>
    <col min="11782" max="11782" width="7.85546875" style="53" customWidth="1"/>
    <col min="11783" max="11783" width="21.140625" style="53" customWidth="1"/>
    <col min="11784" max="11784" width="7.140625" style="53"/>
    <col min="11785" max="11785" width="11.85546875" style="53" customWidth="1"/>
    <col min="11786" max="11786" width="6.7109375" style="53" customWidth="1"/>
    <col min="11787" max="11787" width="13.140625" style="53" customWidth="1"/>
    <col min="11788" max="11788" width="6.85546875" style="53" customWidth="1"/>
    <col min="11789" max="11789" width="12" style="53" customWidth="1"/>
    <col min="11790" max="11790" width="7" style="53" customWidth="1"/>
    <col min="11791" max="11791" width="12" style="53" customWidth="1"/>
    <col min="11792" max="11792" width="16" style="53" customWidth="1"/>
    <col min="11793" max="11793" width="6.85546875" style="53" customWidth="1"/>
    <col min="11794" max="11794" width="12.7109375" style="53" customWidth="1"/>
    <col min="11795" max="11795" width="11.42578125" style="53" customWidth="1"/>
    <col min="11796" max="11796" width="6.28515625" style="53" customWidth="1"/>
    <col min="11797" max="11797" width="11.42578125" style="53" customWidth="1"/>
    <col min="11798" max="11798" width="7.140625" style="53"/>
    <col min="11799" max="11799" width="11.42578125" style="53" customWidth="1"/>
    <col min="11800" max="11802" width="7.140625" style="53" hidden="1" customWidth="1"/>
    <col min="11803" max="12028" width="11.42578125" style="53" customWidth="1"/>
    <col min="12029" max="12029" width="7" style="53" customWidth="1"/>
    <col min="12030" max="12031" width="3.5703125" style="53" customWidth="1"/>
    <col min="12032" max="12032" width="7.85546875" style="53" customWidth="1"/>
    <col min="12033" max="12033" width="21.140625" style="53" customWidth="1"/>
    <col min="12034" max="12034" width="7.140625" style="53"/>
    <col min="12035" max="12035" width="7" style="53" customWidth="1"/>
    <col min="12036" max="12037" width="3.5703125" style="53" customWidth="1"/>
    <col min="12038" max="12038" width="7.85546875" style="53" customWidth="1"/>
    <col min="12039" max="12039" width="21.140625" style="53" customWidth="1"/>
    <col min="12040" max="12040" width="7.140625" style="53"/>
    <col min="12041" max="12041" width="11.85546875" style="53" customWidth="1"/>
    <col min="12042" max="12042" width="6.7109375" style="53" customWidth="1"/>
    <col min="12043" max="12043" width="13.140625" style="53" customWidth="1"/>
    <col min="12044" max="12044" width="6.85546875" style="53" customWidth="1"/>
    <col min="12045" max="12045" width="12" style="53" customWidth="1"/>
    <col min="12046" max="12046" width="7" style="53" customWidth="1"/>
    <col min="12047" max="12047" width="12" style="53" customWidth="1"/>
    <col min="12048" max="12048" width="16" style="53" customWidth="1"/>
    <col min="12049" max="12049" width="6.85546875" style="53" customWidth="1"/>
    <col min="12050" max="12050" width="12.7109375" style="53" customWidth="1"/>
    <col min="12051" max="12051" width="11.42578125" style="53" customWidth="1"/>
    <col min="12052" max="12052" width="6.28515625" style="53" customWidth="1"/>
    <col min="12053" max="12053" width="11.42578125" style="53" customWidth="1"/>
    <col min="12054" max="12054" width="7.140625" style="53"/>
    <col min="12055" max="12055" width="11.42578125" style="53" customWidth="1"/>
    <col min="12056" max="12058" width="7.140625" style="53" hidden="1" customWidth="1"/>
    <col min="12059" max="12284" width="11.42578125" style="53" customWidth="1"/>
    <col min="12285" max="12285" width="7" style="53" customWidth="1"/>
    <col min="12286" max="12287" width="3.5703125" style="53" customWidth="1"/>
    <col min="12288" max="12288" width="7.85546875" style="53" customWidth="1"/>
    <col min="12289" max="12289" width="21.140625" style="53" customWidth="1"/>
    <col min="12290" max="12290" width="7.140625" style="53"/>
    <col min="12291" max="12291" width="7" style="53" customWidth="1"/>
    <col min="12292" max="12293" width="3.5703125" style="53" customWidth="1"/>
    <col min="12294" max="12294" width="7.85546875" style="53" customWidth="1"/>
    <col min="12295" max="12295" width="21.140625" style="53" customWidth="1"/>
    <col min="12296" max="12296" width="7.140625" style="53"/>
    <col min="12297" max="12297" width="11.85546875" style="53" customWidth="1"/>
    <col min="12298" max="12298" width="6.7109375" style="53" customWidth="1"/>
    <col min="12299" max="12299" width="13.140625" style="53" customWidth="1"/>
    <col min="12300" max="12300" width="6.85546875" style="53" customWidth="1"/>
    <col min="12301" max="12301" width="12" style="53" customWidth="1"/>
    <col min="12302" max="12302" width="7" style="53" customWidth="1"/>
    <col min="12303" max="12303" width="12" style="53" customWidth="1"/>
    <col min="12304" max="12304" width="16" style="53" customWidth="1"/>
    <col min="12305" max="12305" width="6.85546875" style="53" customWidth="1"/>
    <col min="12306" max="12306" width="12.7109375" style="53" customWidth="1"/>
    <col min="12307" max="12307" width="11.42578125" style="53" customWidth="1"/>
    <col min="12308" max="12308" width="6.28515625" style="53" customWidth="1"/>
    <col min="12309" max="12309" width="11.42578125" style="53" customWidth="1"/>
    <col min="12310" max="12310" width="7.140625" style="53"/>
    <col min="12311" max="12311" width="11.42578125" style="53" customWidth="1"/>
    <col min="12312" max="12314" width="7.140625" style="53" hidden="1" customWidth="1"/>
    <col min="12315" max="12540" width="11.42578125" style="53" customWidth="1"/>
    <col min="12541" max="12541" width="7" style="53" customWidth="1"/>
    <col min="12542" max="12543" width="3.5703125" style="53" customWidth="1"/>
    <col min="12544" max="12544" width="7.85546875" style="53" customWidth="1"/>
    <col min="12545" max="12545" width="21.140625" style="53" customWidth="1"/>
    <col min="12546" max="12546" width="7.140625" style="53"/>
    <col min="12547" max="12547" width="7" style="53" customWidth="1"/>
    <col min="12548" max="12549" width="3.5703125" style="53" customWidth="1"/>
    <col min="12550" max="12550" width="7.85546875" style="53" customWidth="1"/>
    <col min="12551" max="12551" width="21.140625" style="53" customWidth="1"/>
    <col min="12552" max="12552" width="7.140625" style="53"/>
    <col min="12553" max="12553" width="11.85546875" style="53" customWidth="1"/>
    <col min="12554" max="12554" width="6.7109375" style="53" customWidth="1"/>
    <col min="12555" max="12555" width="13.140625" style="53" customWidth="1"/>
    <col min="12556" max="12556" width="6.85546875" style="53" customWidth="1"/>
    <col min="12557" max="12557" width="12" style="53" customWidth="1"/>
    <col min="12558" max="12558" width="7" style="53" customWidth="1"/>
    <col min="12559" max="12559" width="12" style="53" customWidth="1"/>
    <col min="12560" max="12560" width="16" style="53" customWidth="1"/>
    <col min="12561" max="12561" width="6.85546875" style="53" customWidth="1"/>
    <col min="12562" max="12562" width="12.7109375" style="53" customWidth="1"/>
    <col min="12563" max="12563" width="11.42578125" style="53" customWidth="1"/>
    <col min="12564" max="12564" width="6.28515625" style="53" customWidth="1"/>
    <col min="12565" max="12565" width="11.42578125" style="53" customWidth="1"/>
    <col min="12566" max="12566" width="7.140625" style="53"/>
    <col min="12567" max="12567" width="11.42578125" style="53" customWidth="1"/>
    <col min="12568" max="12570" width="7.140625" style="53" hidden="1" customWidth="1"/>
    <col min="12571" max="12796" width="11.42578125" style="53" customWidth="1"/>
    <col min="12797" max="12797" width="7" style="53" customWidth="1"/>
    <col min="12798" max="12799" width="3.5703125" style="53" customWidth="1"/>
    <col min="12800" max="12800" width="7.85546875" style="53" customWidth="1"/>
    <col min="12801" max="12801" width="21.140625" style="53" customWidth="1"/>
    <col min="12802" max="12802" width="7.140625" style="53"/>
    <col min="12803" max="12803" width="7" style="53" customWidth="1"/>
    <col min="12804" max="12805" width="3.5703125" style="53" customWidth="1"/>
    <col min="12806" max="12806" width="7.85546875" style="53" customWidth="1"/>
    <col min="12807" max="12807" width="21.140625" style="53" customWidth="1"/>
    <col min="12808" max="12808" width="7.140625" style="53"/>
    <col min="12809" max="12809" width="11.85546875" style="53" customWidth="1"/>
    <col min="12810" max="12810" width="6.7109375" style="53" customWidth="1"/>
    <col min="12811" max="12811" width="13.140625" style="53" customWidth="1"/>
    <col min="12812" max="12812" width="6.85546875" style="53" customWidth="1"/>
    <col min="12813" max="12813" width="12" style="53" customWidth="1"/>
    <col min="12814" max="12814" width="7" style="53" customWidth="1"/>
    <col min="12815" max="12815" width="12" style="53" customWidth="1"/>
    <col min="12816" max="12816" width="16" style="53" customWidth="1"/>
    <col min="12817" max="12817" width="6.85546875" style="53" customWidth="1"/>
    <col min="12818" max="12818" width="12.7109375" style="53" customWidth="1"/>
    <col min="12819" max="12819" width="11.42578125" style="53" customWidth="1"/>
    <col min="12820" max="12820" width="6.28515625" style="53" customWidth="1"/>
    <col min="12821" max="12821" width="11.42578125" style="53" customWidth="1"/>
    <col min="12822" max="12822" width="7.140625" style="53"/>
    <col min="12823" max="12823" width="11.42578125" style="53" customWidth="1"/>
    <col min="12824" max="12826" width="7.140625" style="53" hidden="1" customWidth="1"/>
    <col min="12827" max="13052" width="11.42578125" style="53" customWidth="1"/>
    <col min="13053" max="13053" width="7" style="53" customWidth="1"/>
    <col min="13054" max="13055" width="3.5703125" style="53" customWidth="1"/>
    <col min="13056" max="13056" width="7.85546875" style="53" customWidth="1"/>
    <col min="13057" max="13057" width="21.140625" style="53" customWidth="1"/>
    <col min="13058" max="13058" width="7.140625" style="53"/>
    <col min="13059" max="13059" width="7" style="53" customWidth="1"/>
    <col min="13060" max="13061" width="3.5703125" style="53" customWidth="1"/>
    <col min="13062" max="13062" width="7.85546875" style="53" customWidth="1"/>
    <col min="13063" max="13063" width="21.140625" style="53" customWidth="1"/>
    <col min="13064" max="13064" width="7.140625" style="53"/>
    <col min="13065" max="13065" width="11.85546875" style="53" customWidth="1"/>
    <col min="13066" max="13066" width="6.7109375" style="53" customWidth="1"/>
    <col min="13067" max="13067" width="13.140625" style="53" customWidth="1"/>
    <col min="13068" max="13068" width="6.85546875" style="53" customWidth="1"/>
    <col min="13069" max="13069" width="12" style="53" customWidth="1"/>
    <col min="13070" max="13070" width="7" style="53" customWidth="1"/>
    <col min="13071" max="13071" width="12" style="53" customWidth="1"/>
    <col min="13072" max="13072" width="16" style="53" customWidth="1"/>
    <col min="13073" max="13073" width="6.85546875" style="53" customWidth="1"/>
    <col min="13074" max="13074" width="12.7109375" style="53" customWidth="1"/>
    <col min="13075" max="13075" width="11.42578125" style="53" customWidth="1"/>
    <col min="13076" max="13076" width="6.28515625" style="53" customWidth="1"/>
    <col min="13077" max="13077" width="11.42578125" style="53" customWidth="1"/>
    <col min="13078" max="13078" width="7.140625" style="53"/>
    <col min="13079" max="13079" width="11.42578125" style="53" customWidth="1"/>
    <col min="13080" max="13082" width="7.140625" style="53" hidden="1" customWidth="1"/>
    <col min="13083" max="13308" width="11.42578125" style="53" customWidth="1"/>
    <col min="13309" max="13309" width="7" style="53" customWidth="1"/>
    <col min="13310" max="13311" width="3.5703125" style="53" customWidth="1"/>
    <col min="13312" max="13312" width="7.85546875" style="53" customWidth="1"/>
    <col min="13313" max="13313" width="21.140625" style="53" customWidth="1"/>
    <col min="13314" max="13314" width="7.140625" style="53"/>
    <col min="13315" max="13315" width="7" style="53" customWidth="1"/>
    <col min="13316" max="13317" width="3.5703125" style="53" customWidth="1"/>
    <col min="13318" max="13318" width="7.85546875" style="53" customWidth="1"/>
    <col min="13319" max="13319" width="21.140625" style="53" customWidth="1"/>
    <col min="13320" max="13320" width="7.140625" style="53"/>
    <col min="13321" max="13321" width="11.85546875" style="53" customWidth="1"/>
    <col min="13322" max="13322" width="6.7109375" style="53" customWidth="1"/>
    <col min="13323" max="13323" width="13.140625" style="53" customWidth="1"/>
    <col min="13324" max="13324" width="6.85546875" style="53" customWidth="1"/>
    <col min="13325" max="13325" width="12" style="53" customWidth="1"/>
    <col min="13326" max="13326" width="7" style="53" customWidth="1"/>
    <col min="13327" max="13327" width="12" style="53" customWidth="1"/>
    <col min="13328" max="13328" width="16" style="53" customWidth="1"/>
    <col min="13329" max="13329" width="6.85546875" style="53" customWidth="1"/>
    <col min="13330" max="13330" width="12.7109375" style="53" customWidth="1"/>
    <col min="13331" max="13331" width="11.42578125" style="53" customWidth="1"/>
    <col min="13332" max="13332" width="6.28515625" style="53" customWidth="1"/>
    <col min="13333" max="13333" width="11.42578125" style="53" customWidth="1"/>
    <col min="13334" max="13334" width="7.140625" style="53"/>
    <col min="13335" max="13335" width="11.42578125" style="53" customWidth="1"/>
    <col min="13336" max="13338" width="7.140625" style="53" hidden="1" customWidth="1"/>
    <col min="13339" max="13564" width="11.42578125" style="53" customWidth="1"/>
    <col min="13565" max="13565" width="7" style="53" customWidth="1"/>
    <col min="13566" max="13567" width="3.5703125" style="53" customWidth="1"/>
    <col min="13568" max="13568" width="7.85546875" style="53" customWidth="1"/>
    <col min="13569" max="13569" width="21.140625" style="53" customWidth="1"/>
    <col min="13570" max="13570" width="7.140625" style="53"/>
    <col min="13571" max="13571" width="7" style="53" customWidth="1"/>
    <col min="13572" max="13573" width="3.5703125" style="53" customWidth="1"/>
    <col min="13574" max="13574" width="7.85546875" style="53" customWidth="1"/>
    <col min="13575" max="13575" width="21.140625" style="53" customWidth="1"/>
    <col min="13576" max="13576" width="7.140625" style="53"/>
    <col min="13577" max="13577" width="11.85546875" style="53" customWidth="1"/>
    <col min="13578" max="13578" width="6.7109375" style="53" customWidth="1"/>
    <col min="13579" max="13579" width="13.140625" style="53" customWidth="1"/>
    <col min="13580" max="13580" width="6.85546875" style="53" customWidth="1"/>
    <col min="13581" max="13581" width="12" style="53" customWidth="1"/>
    <col min="13582" max="13582" width="7" style="53" customWidth="1"/>
    <col min="13583" max="13583" width="12" style="53" customWidth="1"/>
    <col min="13584" max="13584" width="16" style="53" customWidth="1"/>
    <col min="13585" max="13585" width="6.85546875" style="53" customWidth="1"/>
    <col min="13586" max="13586" width="12.7109375" style="53" customWidth="1"/>
    <col min="13587" max="13587" width="11.42578125" style="53" customWidth="1"/>
    <col min="13588" max="13588" width="6.28515625" style="53" customWidth="1"/>
    <col min="13589" max="13589" width="11.42578125" style="53" customWidth="1"/>
    <col min="13590" max="13590" width="7.140625" style="53"/>
    <col min="13591" max="13591" width="11.42578125" style="53" customWidth="1"/>
    <col min="13592" max="13594" width="7.140625" style="53" hidden="1" customWidth="1"/>
    <col min="13595" max="13820" width="11.42578125" style="53" customWidth="1"/>
    <col min="13821" max="13821" width="7" style="53" customWidth="1"/>
    <col min="13822" max="13823" width="3.5703125" style="53" customWidth="1"/>
    <col min="13824" max="13824" width="7.85546875" style="53" customWidth="1"/>
    <col min="13825" max="13825" width="21.140625" style="53" customWidth="1"/>
    <col min="13826" max="13826" width="7.140625" style="53"/>
    <col min="13827" max="13827" width="7" style="53" customWidth="1"/>
    <col min="13828" max="13829" width="3.5703125" style="53" customWidth="1"/>
    <col min="13830" max="13830" width="7.85546875" style="53" customWidth="1"/>
    <col min="13831" max="13831" width="21.140625" style="53" customWidth="1"/>
    <col min="13832" max="13832" width="7.140625" style="53"/>
    <col min="13833" max="13833" width="11.85546875" style="53" customWidth="1"/>
    <col min="13834" max="13834" width="6.7109375" style="53" customWidth="1"/>
    <col min="13835" max="13835" width="13.140625" style="53" customWidth="1"/>
    <col min="13836" max="13836" width="6.85546875" style="53" customWidth="1"/>
    <col min="13837" max="13837" width="12" style="53" customWidth="1"/>
    <col min="13838" max="13838" width="7" style="53" customWidth="1"/>
    <col min="13839" max="13839" width="12" style="53" customWidth="1"/>
    <col min="13840" max="13840" width="16" style="53" customWidth="1"/>
    <col min="13841" max="13841" width="6.85546875" style="53" customWidth="1"/>
    <col min="13842" max="13842" width="12.7109375" style="53" customWidth="1"/>
    <col min="13843" max="13843" width="11.42578125" style="53" customWidth="1"/>
    <col min="13844" max="13844" width="6.28515625" style="53" customWidth="1"/>
    <col min="13845" max="13845" width="11.42578125" style="53" customWidth="1"/>
    <col min="13846" max="13846" width="7.140625" style="53"/>
    <col min="13847" max="13847" width="11.42578125" style="53" customWidth="1"/>
    <col min="13848" max="13850" width="7.140625" style="53" hidden="1" customWidth="1"/>
    <col min="13851" max="14076" width="11.42578125" style="53" customWidth="1"/>
    <col min="14077" max="14077" width="7" style="53" customWidth="1"/>
    <col min="14078" max="14079" width="3.5703125" style="53" customWidth="1"/>
    <col min="14080" max="14080" width="7.85546875" style="53" customWidth="1"/>
    <col min="14081" max="14081" width="21.140625" style="53" customWidth="1"/>
    <col min="14082" max="14082" width="7.140625" style="53"/>
    <col min="14083" max="14083" width="7" style="53" customWidth="1"/>
    <col min="14084" max="14085" width="3.5703125" style="53" customWidth="1"/>
    <col min="14086" max="14086" width="7.85546875" style="53" customWidth="1"/>
    <col min="14087" max="14087" width="21.140625" style="53" customWidth="1"/>
    <col min="14088" max="14088" width="7.140625" style="53"/>
    <col min="14089" max="14089" width="11.85546875" style="53" customWidth="1"/>
    <col min="14090" max="14090" width="6.7109375" style="53" customWidth="1"/>
    <col min="14091" max="14091" width="13.140625" style="53" customWidth="1"/>
    <col min="14092" max="14092" width="6.85546875" style="53" customWidth="1"/>
    <col min="14093" max="14093" width="12" style="53" customWidth="1"/>
    <col min="14094" max="14094" width="7" style="53" customWidth="1"/>
    <col min="14095" max="14095" width="12" style="53" customWidth="1"/>
    <col min="14096" max="14096" width="16" style="53" customWidth="1"/>
    <col min="14097" max="14097" width="6.85546875" style="53" customWidth="1"/>
    <col min="14098" max="14098" width="12.7109375" style="53" customWidth="1"/>
    <col min="14099" max="14099" width="11.42578125" style="53" customWidth="1"/>
    <col min="14100" max="14100" width="6.28515625" style="53" customWidth="1"/>
    <col min="14101" max="14101" width="11.42578125" style="53" customWidth="1"/>
    <col min="14102" max="14102" width="7.140625" style="53"/>
    <col min="14103" max="14103" width="11.42578125" style="53" customWidth="1"/>
    <col min="14104" max="14106" width="7.140625" style="53" hidden="1" customWidth="1"/>
    <col min="14107" max="14332" width="11.42578125" style="53" customWidth="1"/>
    <col min="14333" max="14333" width="7" style="53" customWidth="1"/>
    <col min="14334" max="14335" width="3.5703125" style="53" customWidth="1"/>
    <col min="14336" max="14336" width="7.85546875" style="53" customWidth="1"/>
    <col min="14337" max="14337" width="21.140625" style="53" customWidth="1"/>
    <col min="14338" max="14338" width="7.140625" style="53"/>
    <col min="14339" max="14339" width="7" style="53" customWidth="1"/>
    <col min="14340" max="14341" width="3.5703125" style="53" customWidth="1"/>
    <col min="14342" max="14342" width="7.85546875" style="53" customWidth="1"/>
    <col min="14343" max="14343" width="21.140625" style="53" customWidth="1"/>
    <col min="14344" max="14344" width="7.140625" style="53"/>
    <col min="14345" max="14345" width="11.85546875" style="53" customWidth="1"/>
    <col min="14346" max="14346" width="6.7109375" style="53" customWidth="1"/>
    <col min="14347" max="14347" width="13.140625" style="53" customWidth="1"/>
    <col min="14348" max="14348" width="6.85546875" style="53" customWidth="1"/>
    <col min="14349" max="14349" width="12" style="53" customWidth="1"/>
    <col min="14350" max="14350" width="7" style="53" customWidth="1"/>
    <col min="14351" max="14351" width="12" style="53" customWidth="1"/>
    <col min="14352" max="14352" width="16" style="53" customWidth="1"/>
    <col min="14353" max="14353" width="6.85546875" style="53" customWidth="1"/>
    <col min="14354" max="14354" width="12.7109375" style="53" customWidth="1"/>
    <col min="14355" max="14355" width="11.42578125" style="53" customWidth="1"/>
    <col min="14356" max="14356" width="6.28515625" style="53" customWidth="1"/>
    <col min="14357" max="14357" width="11.42578125" style="53" customWidth="1"/>
    <col min="14358" max="14358" width="7.140625" style="53"/>
    <col min="14359" max="14359" width="11.42578125" style="53" customWidth="1"/>
    <col min="14360" max="14362" width="7.140625" style="53" hidden="1" customWidth="1"/>
    <col min="14363" max="14588" width="11.42578125" style="53" customWidth="1"/>
    <col min="14589" max="14589" width="7" style="53" customWidth="1"/>
    <col min="14590" max="14591" width="3.5703125" style="53" customWidth="1"/>
    <col min="14592" max="14592" width="7.85546875" style="53" customWidth="1"/>
    <col min="14593" max="14593" width="21.140625" style="53" customWidth="1"/>
    <col min="14594" max="14594" width="7.140625" style="53"/>
    <col min="14595" max="14595" width="7" style="53" customWidth="1"/>
    <col min="14596" max="14597" width="3.5703125" style="53" customWidth="1"/>
    <col min="14598" max="14598" width="7.85546875" style="53" customWidth="1"/>
    <col min="14599" max="14599" width="21.140625" style="53" customWidth="1"/>
    <col min="14600" max="14600" width="7.140625" style="53"/>
    <col min="14601" max="14601" width="11.85546875" style="53" customWidth="1"/>
    <col min="14602" max="14602" width="6.7109375" style="53" customWidth="1"/>
    <col min="14603" max="14603" width="13.140625" style="53" customWidth="1"/>
    <col min="14604" max="14604" width="6.85546875" style="53" customWidth="1"/>
    <col min="14605" max="14605" width="12" style="53" customWidth="1"/>
    <col min="14606" max="14606" width="7" style="53" customWidth="1"/>
    <col min="14607" max="14607" width="12" style="53" customWidth="1"/>
    <col min="14608" max="14608" width="16" style="53" customWidth="1"/>
    <col min="14609" max="14609" width="6.85546875" style="53" customWidth="1"/>
    <col min="14610" max="14610" width="12.7109375" style="53" customWidth="1"/>
    <col min="14611" max="14611" width="11.42578125" style="53" customWidth="1"/>
    <col min="14612" max="14612" width="6.28515625" style="53" customWidth="1"/>
    <col min="14613" max="14613" width="11.42578125" style="53" customWidth="1"/>
    <col min="14614" max="14614" width="7.140625" style="53"/>
    <col min="14615" max="14615" width="11.42578125" style="53" customWidth="1"/>
    <col min="14616" max="14618" width="7.140625" style="53" hidden="1" customWidth="1"/>
    <col min="14619" max="14844" width="11.42578125" style="53" customWidth="1"/>
    <col min="14845" max="14845" width="7" style="53" customWidth="1"/>
    <col min="14846" max="14847" width="3.5703125" style="53" customWidth="1"/>
    <col min="14848" max="14848" width="7.85546875" style="53" customWidth="1"/>
    <col min="14849" max="14849" width="21.140625" style="53" customWidth="1"/>
    <col min="14850" max="14850" width="7.140625" style="53"/>
    <col min="14851" max="14851" width="7" style="53" customWidth="1"/>
    <col min="14852" max="14853" width="3.5703125" style="53" customWidth="1"/>
    <col min="14854" max="14854" width="7.85546875" style="53" customWidth="1"/>
    <col min="14855" max="14855" width="21.140625" style="53" customWidth="1"/>
    <col min="14856" max="14856" width="7.140625" style="53"/>
    <col min="14857" max="14857" width="11.85546875" style="53" customWidth="1"/>
    <col min="14858" max="14858" width="6.7109375" style="53" customWidth="1"/>
    <col min="14859" max="14859" width="13.140625" style="53" customWidth="1"/>
    <col min="14860" max="14860" width="6.85546875" style="53" customWidth="1"/>
    <col min="14861" max="14861" width="12" style="53" customWidth="1"/>
    <col min="14862" max="14862" width="7" style="53" customWidth="1"/>
    <col min="14863" max="14863" width="12" style="53" customWidth="1"/>
    <col min="14864" max="14864" width="16" style="53" customWidth="1"/>
    <col min="14865" max="14865" width="6.85546875" style="53" customWidth="1"/>
    <col min="14866" max="14866" width="12.7109375" style="53" customWidth="1"/>
    <col min="14867" max="14867" width="11.42578125" style="53" customWidth="1"/>
    <col min="14868" max="14868" width="6.28515625" style="53" customWidth="1"/>
    <col min="14869" max="14869" width="11.42578125" style="53" customWidth="1"/>
    <col min="14870" max="14870" width="7.140625" style="53"/>
    <col min="14871" max="14871" width="11.42578125" style="53" customWidth="1"/>
    <col min="14872" max="14874" width="7.140625" style="53" hidden="1" customWidth="1"/>
    <col min="14875" max="15100" width="11.42578125" style="53" customWidth="1"/>
    <col min="15101" max="15101" width="7" style="53" customWidth="1"/>
    <col min="15102" max="15103" width="3.5703125" style="53" customWidth="1"/>
    <col min="15104" max="15104" width="7.85546875" style="53" customWidth="1"/>
    <col min="15105" max="15105" width="21.140625" style="53" customWidth="1"/>
    <col min="15106" max="15106" width="7.140625" style="53"/>
    <col min="15107" max="15107" width="7" style="53" customWidth="1"/>
    <col min="15108" max="15109" width="3.5703125" style="53" customWidth="1"/>
    <col min="15110" max="15110" width="7.85546875" style="53" customWidth="1"/>
    <col min="15111" max="15111" width="21.140625" style="53" customWidth="1"/>
    <col min="15112" max="15112" width="7.140625" style="53"/>
    <col min="15113" max="15113" width="11.85546875" style="53" customWidth="1"/>
    <col min="15114" max="15114" width="6.7109375" style="53" customWidth="1"/>
    <col min="15115" max="15115" width="13.140625" style="53" customWidth="1"/>
    <col min="15116" max="15116" width="6.85546875" style="53" customWidth="1"/>
    <col min="15117" max="15117" width="12" style="53" customWidth="1"/>
    <col min="15118" max="15118" width="7" style="53" customWidth="1"/>
    <col min="15119" max="15119" width="12" style="53" customWidth="1"/>
    <col min="15120" max="15120" width="16" style="53" customWidth="1"/>
    <col min="15121" max="15121" width="6.85546875" style="53" customWidth="1"/>
    <col min="15122" max="15122" width="12.7109375" style="53" customWidth="1"/>
    <col min="15123" max="15123" width="11.42578125" style="53" customWidth="1"/>
    <col min="15124" max="15124" width="6.28515625" style="53" customWidth="1"/>
    <col min="15125" max="15125" width="11.42578125" style="53" customWidth="1"/>
    <col min="15126" max="15126" width="7.140625" style="53"/>
    <col min="15127" max="15127" width="11.42578125" style="53" customWidth="1"/>
    <col min="15128" max="15130" width="7.140625" style="53" hidden="1" customWidth="1"/>
    <col min="15131" max="15356" width="11.42578125" style="53" customWidth="1"/>
    <col min="15357" max="15357" width="7" style="53" customWidth="1"/>
    <col min="15358" max="15359" width="3.5703125" style="53" customWidth="1"/>
    <col min="15360" max="15360" width="7.85546875" style="53" customWidth="1"/>
    <col min="15361" max="15361" width="21.140625" style="53" customWidth="1"/>
    <col min="15362" max="15362" width="7.140625" style="53"/>
    <col min="15363" max="15363" width="7" style="53" customWidth="1"/>
    <col min="15364" max="15365" width="3.5703125" style="53" customWidth="1"/>
    <col min="15366" max="15366" width="7.85546875" style="53" customWidth="1"/>
    <col min="15367" max="15367" width="21.140625" style="53" customWidth="1"/>
    <col min="15368" max="15368" width="7.140625" style="53"/>
    <col min="15369" max="15369" width="11.85546875" style="53" customWidth="1"/>
    <col min="15370" max="15370" width="6.7109375" style="53" customWidth="1"/>
    <col min="15371" max="15371" width="13.140625" style="53" customWidth="1"/>
    <col min="15372" max="15372" width="6.85546875" style="53" customWidth="1"/>
    <col min="15373" max="15373" width="12" style="53" customWidth="1"/>
    <col min="15374" max="15374" width="7" style="53" customWidth="1"/>
    <col min="15375" max="15375" width="12" style="53" customWidth="1"/>
    <col min="15376" max="15376" width="16" style="53" customWidth="1"/>
    <col min="15377" max="15377" width="6.85546875" style="53" customWidth="1"/>
    <col min="15378" max="15378" width="12.7109375" style="53" customWidth="1"/>
    <col min="15379" max="15379" width="11.42578125" style="53" customWidth="1"/>
    <col min="15380" max="15380" width="6.28515625" style="53" customWidth="1"/>
    <col min="15381" max="15381" width="11.42578125" style="53" customWidth="1"/>
    <col min="15382" max="15382" width="7.140625" style="53"/>
    <col min="15383" max="15383" width="11.42578125" style="53" customWidth="1"/>
    <col min="15384" max="15386" width="7.140625" style="53" hidden="1" customWidth="1"/>
    <col min="15387" max="15612" width="11.42578125" style="53" customWidth="1"/>
    <col min="15613" max="15613" width="7" style="53" customWidth="1"/>
    <col min="15614" max="15615" width="3.5703125" style="53" customWidth="1"/>
    <col min="15616" max="15616" width="7.85546875" style="53" customWidth="1"/>
    <col min="15617" max="15617" width="21.140625" style="53" customWidth="1"/>
    <col min="15618" max="15618" width="7.140625" style="53"/>
    <col min="15619" max="15619" width="7" style="53" customWidth="1"/>
    <col min="15620" max="15621" width="3.5703125" style="53" customWidth="1"/>
    <col min="15622" max="15622" width="7.85546875" style="53" customWidth="1"/>
    <col min="15623" max="15623" width="21.140625" style="53" customWidth="1"/>
    <col min="15624" max="15624" width="7.140625" style="53"/>
    <col min="15625" max="15625" width="11.85546875" style="53" customWidth="1"/>
    <col min="15626" max="15626" width="6.7109375" style="53" customWidth="1"/>
    <col min="15627" max="15627" width="13.140625" style="53" customWidth="1"/>
    <col min="15628" max="15628" width="6.85546875" style="53" customWidth="1"/>
    <col min="15629" max="15629" width="12" style="53" customWidth="1"/>
    <col min="15630" max="15630" width="7" style="53" customWidth="1"/>
    <col min="15631" max="15631" width="12" style="53" customWidth="1"/>
    <col min="15632" max="15632" width="16" style="53" customWidth="1"/>
    <col min="15633" max="15633" width="6.85546875" style="53" customWidth="1"/>
    <col min="15634" max="15634" width="12.7109375" style="53" customWidth="1"/>
    <col min="15635" max="15635" width="11.42578125" style="53" customWidth="1"/>
    <col min="15636" max="15636" width="6.28515625" style="53" customWidth="1"/>
    <col min="15637" max="15637" width="11.42578125" style="53" customWidth="1"/>
    <col min="15638" max="15638" width="7.140625" style="53"/>
    <col min="15639" max="15639" width="11.42578125" style="53" customWidth="1"/>
    <col min="15640" max="15642" width="7.140625" style="53" hidden="1" customWidth="1"/>
    <col min="15643" max="15868" width="11.42578125" style="53" customWidth="1"/>
    <col min="15869" max="15869" width="7" style="53" customWidth="1"/>
    <col min="15870" max="15871" width="3.5703125" style="53" customWidth="1"/>
    <col min="15872" max="15872" width="7.85546875" style="53" customWidth="1"/>
    <col min="15873" max="15873" width="21.140625" style="53" customWidth="1"/>
    <col min="15874" max="15874" width="7.140625" style="53"/>
    <col min="15875" max="15875" width="7" style="53" customWidth="1"/>
    <col min="15876" max="15877" width="3.5703125" style="53" customWidth="1"/>
    <col min="15878" max="15878" width="7.85546875" style="53" customWidth="1"/>
    <col min="15879" max="15879" width="21.140625" style="53" customWidth="1"/>
    <col min="15880" max="15880" width="7.140625" style="53"/>
    <col min="15881" max="15881" width="11.85546875" style="53" customWidth="1"/>
    <col min="15882" max="15882" width="6.7109375" style="53" customWidth="1"/>
    <col min="15883" max="15883" width="13.140625" style="53" customWidth="1"/>
    <col min="15884" max="15884" width="6.85546875" style="53" customWidth="1"/>
    <col min="15885" max="15885" width="12" style="53" customWidth="1"/>
    <col min="15886" max="15886" width="7" style="53" customWidth="1"/>
    <col min="15887" max="15887" width="12" style="53" customWidth="1"/>
    <col min="15888" max="15888" width="16" style="53" customWidth="1"/>
    <col min="15889" max="15889" width="6.85546875" style="53" customWidth="1"/>
    <col min="15890" max="15890" width="12.7109375" style="53" customWidth="1"/>
    <col min="15891" max="15891" width="11.42578125" style="53" customWidth="1"/>
    <col min="15892" max="15892" width="6.28515625" style="53" customWidth="1"/>
    <col min="15893" max="15893" width="11.42578125" style="53" customWidth="1"/>
    <col min="15894" max="15894" width="7.140625" style="53"/>
    <col min="15895" max="15895" width="11.42578125" style="53" customWidth="1"/>
    <col min="15896" max="15898" width="7.140625" style="53" hidden="1" customWidth="1"/>
    <col min="15899" max="16124" width="11.42578125" style="53" customWidth="1"/>
    <col min="16125" max="16125" width="7" style="53" customWidth="1"/>
    <col min="16126" max="16127" width="3.5703125" style="53" customWidth="1"/>
    <col min="16128" max="16128" width="7.85546875" style="53" customWidth="1"/>
    <col min="16129" max="16129" width="21.140625" style="53" customWidth="1"/>
    <col min="16130" max="16130" width="7.140625" style="53"/>
    <col min="16131" max="16131" width="7" style="53" customWidth="1"/>
    <col min="16132" max="16133" width="3.5703125" style="53" customWidth="1"/>
    <col min="16134" max="16134" width="7.85546875" style="53" customWidth="1"/>
    <col min="16135" max="16135" width="21.140625" style="53" customWidth="1"/>
    <col min="16136" max="16136" width="7.140625" style="53"/>
    <col min="16137" max="16137" width="11.85546875" style="53" customWidth="1"/>
    <col min="16138" max="16138" width="6.7109375" style="53" customWidth="1"/>
    <col min="16139" max="16139" width="13.140625" style="53" customWidth="1"/>
    <col min="16140" max="16140" width="6.85546875" style="53" customWidth="1"/>
    <col min="16141" max="16141" width="12" style="53" customWidth="1"/>
    <col min="16142" max="16142" width="7" style="53" customWidth="1"/>
    <col min="16143" max="16143" width="12" style="53" customWidth="1"/>
    <col min="16144" max="16144" width="16" style="53" customWidth="1"/>
    <col min="16145" max="16145" width="6.85546875" style="53" customWidth="1"/>
    <col min="16146" max="16146" width="12.7109375" style="53" customWidth="1"/>
    <col min="16147" max="16147" width="11.42578125" style="53" customWidth="1"/>
    <col min="16148" max="16148" width="6.28515625" style="53" customWidth="1"/>
    <col min="16149" max="16149" width="11.42578125" style="53" customWidth="1"/>
    <col min="16150" max="16150" width="7.140625" style="53"/>
    <col min="16151" max="16151" width="11.42578125" style="53" customWidth="1"/>
    <col min="16152" max="16154" width="7.140625" style="53" hidden="1" customWidth="1"/>
    <col min="16155" max="16380" width="11.42578125" style="53" customWidth="1"/>
    <col min="16381" max="16381" width="7" style="53" customWidth="1"/>
    <col min="16382" max="16383" width="3.5703125" style="53" customWidth="1"/>
    <col min="16384" max="16384" width="7.85546875" style="53" customWidth="1"/>
  </cols>
  <sheetData>
    <row r="1" spans="1:20" ht="26.25" customHeight="1" thickBot="1">
      <c r="A1" s="849" t="s">
        <v>428</v>
      </c>
      <c r="B1" s="50"/>
      <c r="C1" s="51"/>
      <c r="D1" s="852" t="s">
        <v>61</v>
      </c>
      <c r="E1" s="52" t="s">
        <v>129</v>
      </c>
      <c r="F1" s="834" t="s">
        <v>130</v>
      </c>
      <c r="G1" s="854"/>
      <c r="H1" s="834" t="s">
        <v>131</v>
      </c>
      <c r="I1" s="835"/>
      <c r="J1" s="834" t="s">
        <v>132</v>
      </c>
      <c r="K1" s="835"/>
      <c r="L1" s="834" t="s">
        <v>133</v>
      </c>
      <c r="M1" s="835"/>
      <c r="N1" s="834" t="s">
        <v>171</v>
      </c>
      <c r="O1" s="835"/>
    </row>
    <row r="2" spans="1:20" ht="27.75" customHeight="1" thickBot="1">
      <c r="A2" s="850"/>
      <c r="B2" s="54"/>
      <c r="C2" s="55"/>
      <c r="D2" s="853"/>
      <c r="E2" s="56" t="s">
        <v>134</v>
      </c>
      <c r="F2" s="57" t="s">
        <v>135</v>
      </c>
      <c r="G2" s="58" t="s">
        <v>136</v>
      </c>
      <c r="H2" s="57" t="s">
        <v>135</v>
      </c>
      <c r="I2" s="59" t="s">
        <v>136</v>
      </c>
      <c r="J2" s="57" t="s">
        <v>135</v>
      </c>
      <c r="K2" s="59" t="s">
        <v>136</v>
      </c>
      <c r="L2" s="57" t="s">
        <v>135</v>
      </c>
      <c r="M2" s="59" t="s">
        <v>136</v>
      </c>
      <c r="N2" s="57" t="s">
        <v>135</v>
      </c>
      <c r="O2" s="59" t="s">
        <v>136</v>
      </c>
      <c r="P2" s="163">
        <v>57721.365861568265</v>
      </c>
      <c r="Q2" s="60"/>
    </row>
    <row r="3" spans="1:20" ht="15" customHeight="1" thickBot="1">
      <c r="A3" s="850"/>
      <c r="B3" s="54"/>
      <c r="C3" s="55"/>
      <c r="D3" s="836" t="s">
        <v>8</v>
      </c>
      <c r="E3" s="838" t="s">
        <v>35</v>
      </c>
      <c r="F3" s="61">
        <v>0.3</v>
      </c>
      <c r="G3" s="62" t="e">
        <f>F3*$P$3</f>
        <v>#REF!</v>
      </c>
      <c r="H3" s="61">
        <v>0.3</v>
      </c>
      <c r="I3" s="62" t="e">
        <f>H3*$P$3</f>
        <v>#REF!</v>
      </c>
      <c r="J3" s="61">
        <v>0.15</v>
      </c>
      <c r="K3" s="62" t="e">
        <f>J3*$P$3</f>
        <v>#REF!</v>
      </c>
      <c r="L3" s="61">
        <v>0.15</v>
      </c>
      <c r="M3" s="62" t="e">
        <f>L3*$P$3</f>
        <v>#REF!</v>
      </c>
      <c r="N3" s="61">
        <v>0.1</v>
      </c>
      <c r="O3" s="62" t="e">
        <f>N3*$P$3</f>
        <v>#REF!</v>
      </c>
      <c r="P3" s="63" t="e">
        <f>#REF!</f>
        <v>#REF!</v>
      </c>
      <c r="Q3" s="164">
        <f>SUM(F3,H3,J3,N3,L3)</f>
        <v>1</v>
      </c>
      <c r="R3" s="65" t="e">
        <f>P3-Q3</f>
        <v>#REF!</v>
      </c>
      <c r="T3" s="66"/>
    </row>
    <row r="4" spans="1:20" ht="12" customHeight="1">
      <c r="A4" s="850"/>
      <c r="B4" s="54"/>
      <c r="C4" s="55"/>
      <c r="D4" s="837"/>
      <c r="E4" s="839"/>
      <c r="F4" s="67"/>
      <c r="G4" s="68"/>
      <c r="H4" s="67"/>
      <c r="I4" s="68"/>
      <c r="J4" s="67"/>
      <c r="K4" s="68"/>
      <c r="L4" s="67"/>
      <c r="M4" s="68"/>
      <c r="N4" s="67"/>
      <c r="O4" s="68"/>
      <c r="P4" s="63"/>
      <c r="Q4" s="64"/>
      <c r="R4" s="65">
        <f>P4-Q4</f>
        <v>0</v>
      </c>
      <c r="T4" s="66"/>
    </row>
    <row r="5" spans="1:20" ht="15" customHeight="1">
      <c r="A5" s="850"/>
      <c r="B5" s="840"/>
      <c r="C5" s="841"/>
      <c r="D5" s="843" t="s">
        <v>6</v>
      </c>
      <c r="E5" s="844" t="s">
        <v>36</v>
      </c>
      <c r="F5" s="69">
        <v>0.3</v>
      </c>
      <c r="G5" s="70" t="e">
        <f>F5*$P$5</f>
        <v>#REF!</v>
      </c>
      <c r="H5" s="69">
        <v>0.35</v>
      </c>
      <c r="I5" s="70" t="e">
        <f>H5*$P$5</f>
        <v>#REF!</v>
      </c>
      <c r="J5" s="69">
        <v>0.35</v>
      </c>
      <c r="K5" s="70" t="e">
        <f>J5*$P$5</f>
        <v>#REF!</v>
      </c>
      <c r="L5" s="75"/>
      <c r="M5" s="80"/>
      <c r="N5" s="75"/>
      <c r="O5" s="159"/>
      <c r="P5" s="63" t="e">
        <f>#REF!</f>
        <v>#REF!</v>
      </c>
      <c r="Q5" s="164">
        <f>SUM(F5,H5,J5,N5,L5)</f>
        <v>0.99999999999999989</v>
      </c>
      <c r="R5" s="65" t="e">
        <f>P5-Q5</f>
        <v>#REF!</v>
      </c>
      <c r="T5" s="66"/>
    </row>
    <row r="6" spans="1:20" s="74" customFormat="1" ht="11.25" customHeight="1">
      <c r="A6" s="850"/>
      <c r="B6" s="840"/>
      <c r="C6" s="841"/>
      <c r="D6" s="842"/>
      <c r="E6" s="844"/>
      <c r="F6" s="72"/>
      <c r="G6" s="73"/>
      <c r="H6" s="72"/>
      <c r="I6" s="73"/>
      <c r="J6" s="72"/>
      <c r="K6" s="73"/>
      <c r="L6" s="183"/>
      <c r="M6" s="184"/>
      <c r="N6" s="183"/>
      <c r="O6" s="185"/>
      <c r="P6" s="63"/>
      <c r="Q6" s="64"/>
      <c r="R6" s="65">
        <f t="shared" ref="R6:R18" si="0">P6-Q6</f>
        <v>0</v>
      </c>
      <c r="T6" s="66"/>
    </row>
    <row r="7" spans="1:20" ht="15" customHeight="1">
      <c r="A7" s="850"/>
      <c r="B7" s="840"/>
      <c r="C7" s="841"/>
      <c r="D7" s="842" t="s">
        <v>10</v>
      </c>
      <c r="E7" s="844" t="s">
        <v>37</v>
      </c>
      <c r="F7" s="69">
        <v>0.15</v>
      </c>
      <c r="G7" s="76" t="e">
        <f>F7*$P$7</f>
        <v>#REF!</v>
      </c>
      <c r="H7" s="69">
        <v>0.2</v>
      </c>
      <c r="I7" s="76" t="e">
        <f>H7*$P$7</f>
        <v>#REF!</v>
      </c>
      <c r="J7" s="69">
        <v>0.25</v>
      </c>
      <c r="K7" s="76" t="e">
        <f>J7*$P$7</f>
        <v>#REF!</v>
      </c>
      <c r="L7" s="69">
        <v>0.25</v>
      </c>
      <c r="M7" s="76" t="e">
        <f>L7*$P$7</f>
        <v>#REF!</v>
      </c>
      <c r="N7" s="69">
        <v>0.15</v>
      </c>
      <c r="O7" s="77" t="e">
        <f>N7*$P$7</f>
        <v>#REF!</v>
      </c>
      <c r="P7" s="63" t="e">
        <f>#REF!</f>
        <v>#REF!</v>
      </c>
      <c r="Q7" s="164">
        <f>SUM(F7,H7,J7,N7,L7)</f>
        <v>1</v>
      </c>
      <c r="R7" s="65" t="e">
        <f>P7-Q7</f>
        <v>#REF!</v>
      </c>
      <c r="T7" s="66"/>
    </row>
    <row r="8" spans="1:20" ht="11.25" customHeight="1">
      <c r="A8" s="850"/>
      <c r="B8" s="840"/>
      <c r="C8" s="841"/>
      <c r="D8" s="842"/>
      <c r="E8" s="844"/>
      <c r="F8" s="67"/>
      <c r="G8" s="78"/>
      <c r="H8" s="67"/>
      <c r="I8" s="78"/>
      <c r="J8" s="67"/>
      <c r="K8" s="78"/>
      <c r="L8" s="67"/>
      <c r="M8" s="78"/>
      <c r="N8" s="67"/>
      <c r="O8" s="79"/>
      <c r="P8" s="63"/>
      <c r="Q8" s="64"/>
      <c r="R8" s="65">
        <f t="shared" si="0"/>
        <v>0</v>
      </c>
      <c r="T8" s="66"/>
    </row>
    <row r="9" spans="1:20" ht="15.75" customHeight="1">
      <c r="A9" s="850"/>
      <c r="B9" s="840"/>
      <c r="C9" s="841"/>
      <c r="D9" s="842" t="s">
        <v>13</v>
      </c>
      <c r="E9" s="844" t="s">
        <v>22</v>
      </c>
      <c r="F9" s="69">
        <v>0.25</v>
      </c>
      <c r="G9" s="76" t="e">
        <f>F9*$P$9</f>
        <v>#REF!</v>
      </c>
      <c r="H9" s="69">
        <v>0.25</v>
      </c>
      <c r="I9" s="76" t="e">
        <f>H9*$P$9</f>
        <v>#REF!</v>
      </c>
      <c r="J9" s="69">
        <v>0.2</v>
      </c>
      <c r="K9" s="76" t="e">
        <f>J9*$P$9</f>
        <v>#REF!</v>
      </c>
      <c r="L9" s="69">
        <v>0.2</v>
      </c>
      <c r="M9" s="76" t="e">
        <f>L9*$P$9</f>
        <v>#REF!</v>
      </c>
      <c r="N9" s="69">
        <v>0.1</v>
      </c>
      <c r="O9" s="77" t="e">
        <f>N9*$P$9</f>
        <v>#REF!</v>
      </c>
      <c r="P9" s="63" t="e">
        <f>#REF!</f>
        <v>#REF!</v>
      </c>
      <c r="Q9" s="164">
        <f>SUM(F9,H9,J9,N9,L9)</f>
        <v>1</v>
      </c>
      <c r="R9" s="65" t="e">
        <f t="shared" si="0"/>
        <v>#REF!</v>
      </c>
      <c r="T9" s="66"/>
    </row>
    <row r="10" spans="1:20" ht="11.25" customHeight="1">
      <c r="A10" s="850"/>
      <c r="B10" s="840"/>
      <c r="C10" s="841"/>
      <c r="D10" s="842"/>
      <c r="E10" s="844"/>
      <c r="F10" s="67"/>
      <c r="G10" s="78"/>
      <c r="H10" s="67"/>
      <c r="I10" s="78"/>
      <c r="J10" s="67"/>
      <c r="K10" s="78"/>
      <c r="L10" s="67"/>
      <c r="M10" s="78"/>
      <c r="N10" s="67"/>
      <c r="O10" s="79"/>
      <c r="P10" s="63"/>
      <c r="Q10" s="64"/>
      <c r="R10" s="65">
        <f t="shared" si="0"/>
        <v>0</v>
      </c>
      <c r="T10" s="66"/>
    </row>
    <row r="11" spans="1:20" ht="15" customHeight="1">
      <c r="A11" s="850"/>
      <c r="B11" s="840"/>
      <c r="C11" s="841"/>
      <c r="D11" s="842" t="s">
        <v>16</v>
      </c>
      <c r="E11" s="844" t="s">
        <v>39</v>
      </c>
      <c r="F11" s="69">
        <v>0.05</v>
      </c>
      <c r="G11" s="76" t="e">
        <f>F11*$P$11</f>
        <v>#REF!</v>
      </c>
      <c r="H11" s="69">
        <v>0.25</v>
      </c>
      <c r="I11" s="76" t="e">
        <f>H11*$P$11</f>
        <v>#REF!</v>
      </c>
      <c r="J11" s="69">
        <v>0.2</v>
      </c>
      <c r="K11" s="76" t="e">
        <f>J11*$P$11</f>
        <v>#REF!</v>
      </c>
      <c r="L11" s="69">
        <v>0.25</v>
      </c>
      <c r="M11" s="76" t="e">
        <f>L11*$P$11</f>
        <v>#REF!</v>
      </c>
      <c r="N11" s="69">
        <v>0.25</v>
      </c>
      <c r="O11" s="77" t="e">
        <f>N11*$P$11</f>
        <v>#REF!</v>
      </c>
      <c r="P11" s="63" t="e">
        <f>#REF!</f>
        <v>#REF!</v>
      </c>
      <c r="Q11" s="164">
        <f>SUM(F11,H11,J11,N11,L11)</f>
        <v>1</v>
      </c>
      <c r="R11" s="65" t="e">
        <f t="shared" si="0"/>
        <v>#REF!</v>
      </c>
      <c r="T11" s="66"/>
    </row>
    <row r="12" spans="1:20" ht="15" customHeight="1">
      <c r="A12" s="850"/>
      <c r="B12" s="840"/>
      <c r="C12" s="841"/>
      <c r="D12" s="842"/>
      <c r="E12" s="844"/>
      <c r="F12" s="67"/>
      <c r="G12" s="78"/>
      <c r="H12" s="67"/>
      <c r="I12" s="78"/>
      <c r="J12" s="67"/>
      <c r="K12" s="78"/>
      <c r="L12" s="67"/>
      <c r="M12" s="78"/>
      <c r="N12" s="67"/>
      <c r="O12" s="79"/>
      <c r="P12" s="63"/>
      <c r="Q12" s="64"/>
      <c r="R12" s="65">
        <f t="shared" si="0"/>
        <v>0</v>
      </c>
      <c r="T12" s="66"/>
    </row>
    <row r="13" spans="1:20" ht="15" customHeight="1">
      <c r="A13" s="850"/>
      <c r="B13" s="840"/>
      <c r="C13" s="841"/>
      <c r="D13" s="842" t="s">
        <v>62</v>
      </c>
      <c r="E13" s="844" t="s">
        <v>137</v>
      </c>
      <c r="F13" s="75"/>
      <c r="G13" s="80"/>
      <c r="H13" s="75"/>
      <c r="I13" s="80"/>
      <c r="J13" s="75"/>
      <c r="K13" s="180"/>
      <c r="L13" s="75">
        <v>0.5</v>
      </c>
      <c r="M13" s="76" t="e">
        <f>L13*$P$13</f>
        <v>#REF!</v>
      </c>
      <c r="N13" s="75">
        <v>0.5</v>
      </c>
      <c r="O13" s="71" t="e">
        <f>N13*$P$13</f>
        <v>#REF!</v>
      </c>
      <c r="P13" s="63" t="e">
        <f>#REF!</f>
        <v>#REF!</v>
      </c>
      <c r="Q13" s="164">
        <f>SUM(F13,H13,J13,N13,L13)</f>
        <v>1</v>
      </c>
      <c r="R13" s="65" t="e">
        <f t="shared" si="0"/>
        <v>#REF!</v>
      </c>
      <c r="T13" s="66"/>
    </row>
    <row r="14" spans="1:20" ht="12" customHeight="1">
      <c r="A14" s="850"/>
      <c r="B14" s="840"/>
      <c r="C14" s="841"/>
      <c r="D14" s="842"/>
      <c r="E14" s="844"/>
      <c r="F14" s="81"/>
      <c r="G14" s="82"/>
      <c r="H14" s="81"/>
      <c r="I14" s="82"/>
      <c r="J14" s="181"/>
      <c r="K14" s="182"/>
      <c r="L14" s="67"/>
      <c r="M14" s="78"/>
      <c r="N14" s="67"/>
      <c r="O14" s="79"/>
      <c r="P14" s="63"/>
      <c r="Q14" s="64"/>
      <c r="R14" s="65">
        <f t="shared" si="0"/>
        <v>0</v>
      </c>
      <c r="T14" s="66"/>
    </row>
    <row r="15" spans="1:20" ht="15" customHeight="1">
      <c r="A15" s="850"/>
      <c r="B15" s="83"/>
      <c r="C15" s="84"/>
      <c r="D15" s="842" t="s">
        <v>17</v>
      </c>
      <c r="E15" s="844" t="s">
        <v>40</v>
      </c>
      <c r="F15" s="85"/>
      <c r="G15" s="80"/>
      <c r="H15" s="85"/>
      <c r="I15" s="80"/>
      <c r="J15" s="85"/>
      <c r="K15" s="80"/>
      <c r="L15" s="85"/>
      <c r="M15" s="80"/>
      <c r="N15" s="86">
        <v>1</v>
      </c>
      <c r="O15" s="71" t="e">
        <f>N15*$P$15</f>
        <v>#REF!</v>
      </c>
      <c r="P15" s="63" t="e">
        <f>#REF!</f>
        <v>#REF!</v>
      </c>
      <c r="Q15" s="164">
        <f>SUM(F15,H15,J15,N15,L15)</f>
        <v>1</v>
      </c>
      <c r="R15" s="65" t="e">
        <f t="shared" si="0"/>
        <v>#REF!</v>
      </c>
      <c r="T15" s="66"/>
    </row>
    <row r="16" spans="1:20" ht="12" customHeight="1">
      <c r="A16" s="850"/>
      <c r="B16" s="83"/>
      <c r="C16" s="84"/>
      <c r="D16" s="842"/>
      <c r="E16" s="844"/>
      <c r="F16" s="87"/>
      <c r="G16" s="82"/>
      <c r="H16" s="87"/>
      <c r="I16" s="82"/>
      <c r="J16" s="87"/>
      <c r="K16" s="82"/>
      <c r="L16" s="87"/>
      <c r="M16" s="82"/>
      <c r="N16" s="88"/>
      <c r="O16" s="89"/>
      <c r="P16" s="63"/>
      <c r="Q16" s="64"/>
      <c r="R16" s="65">
        <f t="shared" si="0"/>
        <v>0</v>
      </c>
      <c r="T16" s="66"/>
    </row>
    <row r="17" spans="1:25" ht="15" customHeight="1">
      <c r="A17" s="850"/>
      <c r="B17" s="83"/>
      <c r="C17" s="84"/>
      <c r="D17" s="855"/>
      <c r="E17" s="857"/>
      <c r="F17" s="85"/>
      <c r="G17" s="158"/>
      <c r="H17" s="85"/>
      <c r="I17" s="158"/>
      <c r="J17" s="85"/>
      <c r="K17" s="158"/>
      <c r="L17" s="85"/>
      <c r="M17" s="158"/>
      <c r="N17" s="85"/>
      <c r="O17" s="159"/>
      <c r="P17" s="63"/>
      <c r="Q17" s="64" t="e">
        <f>ROUND((G17+I17+"#ref!"+"#ref!"+"#ref!"+"#ref!"+"#ref!"+"#ref!"+"#ref!"+"#ref!"+"#ref!"+"#ref!"+"#ref!"+"#ref!"+"#ref!"+"#ref!"+"#ref!"+"#ref!"),2)</f>
        <v>#VALUE!</v>
      </c>
      <c r="R17" s="65" t="e">
        <f t="shared" si="0"/>
        <v>#VALUE!</v>
      </c>
      <c r="T17" s="66"/>
    </row>
    <row r="18" spans="1:25" ht="12" customHeight="1" thickBot="1">
      <c r="A18" s="851"/>
      <c r="B18" s="90"/>
      <c r="C18" s="91"/>
      <c r="D18" s="856"/>
      <c r="E18" s="858"/>
      <c r="F18" s="160"/>
      <c r="G18" s="161"/>
      <c r="H18" s="160"/>
      <c r="I18" s="161"/>
      <c r="J18" s="160"/>
      <c r="K18" s="161"/>
      <c r="L18" s="160"/>
      <c r="M18" s="161"/>
      <c r="N18" s="160"/>
      <c r="O18" s="162"/>
      <c r="P18" s="63"/>
      <c r="Q18" s="64"/>
      <c r="R18" s="65">
        <f t="shared" si="0"/>
        <v>0</v>
      </c>
      <c r="T18" s="66"/>
    </row>
    <row r="19" spans="1:25" ht="12.75" customHeight="1" thickBot="1">
      <c r="A19" s="92"/>
      <c r="B19" s="93"/>
      <c r="C19" s="859" t="s">
        <v>139</v>
      </c>
      <c r="D19" s="94"/>
      <c r="E19" s="95"/>
      <c r="F19" s="96"/>
      <c r="G19" s="97"/>
      <c r="H19" s="96"/>
      <c r="I19" s="98"/>
      <c r="J19" s="96"/>
      <c r="K19" s="98"/>
      <c r="L19" s="96"/>
      <c r="M19" s="98"/>
      <c r="N19" s="96"/>
      <c r="O19" s="99"/>
      <c r="P19" s="100"/>
      <c r="Q19" s="101"/>
      <c r="R19" s="100"/>
    </row>
    <row r="20" spans="1:25" ht="12.75" customHeight="1" thickBot="1">
      <c r="A20" s="92"/>
      <c r="B20" s="93"/>
      <c r="C20" s="860"/>
      <c r="D20" s="94"/>
      <c r="E20" s="95"/>
      <c r="F20" s="96"/>
      <c r="G20" s="97"/>
      <c r="H20" s="96"/>
      <c r="I20" s="98"/>
      <c r="J20" s="96"/>
      <c r="K20" s="98"/>
      <c r="L20" s="96"/>
      <c r="M20" s="98"/>
      <c r="N20" s="96"/>
      <c r="O20" s="99"/>
      <c r="Q20" s="101"/>
      <c r="R20" s="100"/>
    </row>
    <row r="21" spans="1:25" ht="12.75" customHeight="1" thickBot="1">
      <c r="A21" s="92"/>
      <c r="B21" s="93"/>
      <c r="C21" s="860"/>
      <c r="D21" s="94"/>
      <c r="E21" s="95"/>
      <c r="F21" s="96"/>
      <c r="G21" s="97"/>
      <c r="H21" s="96"/>
      <c r="I21" s="98"/>
      <c r="J21" s="96"/>
      <c r="K21" s="98"/>
      <c r="L21" s="96"/>
      <c r="M21" s="98"/>
      <c r="N21" s="96"/>
      <c r="O21" s="99"/>
      <c r="P21" s="100"/>
      <c r="Q21" s="100"/>
      <c r="R21" s="100"/>
    </row>
    <row r="22" spans="1:25" ht="12.75" customHeight="1" thickBot="1">
      <c r="A22" s="92"/>
      <c r="B22" s="93"/>
      <c r="C22" s="860"/>
      <c r="D22" s="94"/>
      <c r="E22" s="95"/>
      <c r="F22" s="96"/>
      <c r="G22" s="97"/>
      <c r="H22" s="96"/>
      <c r="I22" s="98"/>
      <c r="J22" s="96"/>
      <c r="K22" s="98"/>
      <c r="L22" s="96"/>
      <c r="M22" s="98"/>
      <c r="N22" s="96"/>
      <c r="O22" s="99"/>
      <c r="P22" s="100"/>
      <c r="Q22" s="100"/>
      <c r="R22" s="100"/>
    </row>
    <row r="23" spans="1:25" ht="12.75" customHeight="1" thickBot="1">
      <c r="A23" s="92"/>
      <c r="B23" s="93"/>
      <c r="C23" s="860"/>
      <c r="D23" s="94"/>
      <c r="E23" s="95"/>
      <c r="F23" s="96"/>
      <c r="G23" s="97"/>
      <c r="H23" s="96"/>
      <c r="I23" s="98"/>
      <c r="J23" s="96"/>
      <c r="K23" s="98"/>
      <c r="L23" s="96"/>
      <c r="M23" s="98"/>
      <c r="N23" s="96"/>
      <c r="O23" s="99"/>
      <c r="P23" s="100"/>
      <c r="Q23" s="100"/>
      <c r="R23" s="100"/>
    </row>
    <row r="24" spans="1:25" ht="12.75" customHeight="1" thickBot="1">
      <c r="A24" s="92"/>
      <c r="B24" s="93"/>
      <c r="C24" s="860"/>
      <c r="D24" s="94"/>
      <c r="E24" s="95"/>
      <c r="F24" s="96"/>
      <c r="G24" s="97"/>
      <c r="H24" s="96"/>
      <c r="I24" s="98"/>
      <c r="J24" s="96"/>
      <c r="K24" s="98"/>
      <c r="L24" s="96"/>
      <c r="M24" s="98"/>
      <c r="N24" s="96"/>
      <c r="O24" s="99"/>
      <c r="P24" s="100"/>
      <c r="Q24" s="100" t="s">
        <v>140</v>
      </c>
      <c r="R24" s="100"/>
    </row>
    <row r="25" spans="1:25" ht="12.75" customHeight="1" thickBot="1">
      <c r="A25" s="92"/>
      <c r="B25" s="93"/>
      <c r="C25" s="860"/>
      <c r="D25" s="94"/>
      <c r="E25" s="95"/>
      <c r="F25" s="96"/>
      <c r="G25" s="97"/>
      <c r="H25" s="96"/>
      <c r="I25" s="97"/>
      <c r="J25" s="96"/>
      <c r="K25" s="97"/>
      <c r="L25" s="96"/>
      <c r="M25" s="97"/>
      <c r="N25" s="96"/>
      <c r="O25" s="102"/>
      <c r="P25" s="100"/>
      <c r="Q25" s="100"/>
      <c r="R25" s="100"/>
    </row>
    <row r="26" spans="1:25" ht="12.75" customHeight="1" thickBot="1">
      <c r="A26" s="92"/>
      <c r="B26" s="93"/>
      <c r="C26" s="860"/>
      <c r="D26" s="103"/>
      <c r="E26" s="104"/>
      <c r="F26" s="105"/>
      <c r="G26" s="106"/>
      <c r="H26" s="105"/>
      <c r="I26" s="106"/>
      <c r="J26" s="105"/>
      <c r="K26" s="106"/>
      <c r="L26" s="105"/>
      <c r="M26" s="106"/>
      <c r="N26" s="105"/>
      <c r="O26" s="107"/>
      <c r="P26" s="100"/>
      <c r="Q26" s="100"/>
      <c r="R26" s="100"/>
    </row>
    <row r="27" spans="1:25" ht="12.75" customHeight="1" thickBot="1">
      <c r="A27" s="92"/>
      <c r="B27" s="93"/>
      <c r="C27" s="860"/>
      <c r="D27" s="108" t="s">
        <v>141</v>
      </c>
      <c r="E27" s="109"/>
      <c r="F27" s="110" t="e">
        <f>G27/$P$29</f>
        <v>#REF!</v>
      </c>
      <c r="G27" s="111" t="e">
        <f>G5+G7+G9+G11+G13+G3+G15+G17</f>
        <v>#REF!</v>
      </c>
      <c r="H27" s="110" t="e">
        <f>I27/$P$29</f>
        <v>#REF!</v>
      </c>
      <c r="I27" s="111" t="e">
        <f>I5+I7+I9+I11+I13+I3+I15+I17</f>
        <v>#REF!</v>
      </c>
      <c r="J27" s="110" t="e">
        <f>K27/$P$29</f>
        <v>#REF!</v>
      </c>
      <c r="K27" s="111" t="e">
        <f>K5+K7+K9+K11+K13+K3+K15+K17</f>
        <v>#REF!</v>
      </c>
      <c r="L27" s="110" t="e">
        <f>M27/$P$29</f>
        <v>#REF!</v>
      </c>
      <c r="M27" s="111" t="e">
        <f>M5+M7+M9+M11+M13+M3+M15+M17</f>
        <v>#REF!</v>
      </c>
      <c r="N27" s="110" t="e">
        <f>O27/$P$29</f>
        <v>#REF!</v>
      </c>
      <c r="O27" s="112" t="e">
        <f>O5+O7+O9+O11+O13+O3+O15+O17</f>
        <v>#REF!</v>
      </c>
      <c r="P27" s="100"/>
      <c r="Q27" s="100"/>
      <c r="R27" s="100"/>
      <c r="S27" s="113" t="s">
        <v>142</v>
      </c>
    </row>
    <row r="28" spans="1:25" ht="12.75" customHeight="1" thickBot="1">
      <c r="A28" s="92"/>
      <c r="B28" s="93"/>
      <c r="C28" s="860"/>
      <c r="D28" s="108" t="s">
        <v>143</v>
      </c>
      <c r="E28" s="114"/>
      <c r="F28" s="115" t="e">
        <f>G28/$P$29</f>
        <v>#REF!</v>
      </c>
      <c r="G28" s="116" t="e">
        <f>G27</f>
        <v>#REF!</v>
      </c>
      <c r="H28" s="115" t="e">
        <f>I28/$P$29</f>
        <v>#REF!</v>
      </c>
      <c r="I28" s="116" t="e">
        <f>I27+G28</f>
        <v>#REF!</v>
      </c>
      <c r="J28" s="115" t="e">
        <f>K28/$P$29</f>
        <v>#REF!</v>
      </c>
      <c r="K28" s="116" t="e">
        <f>K27+I28</f>
        <v>#REF!</v>
      </c>
      <c r="L28" s="115" t="e">
        <f>M28/$P$29</f>
        <v>#REF!</v>
      </c>
      <c r="M28" s="116" t="e">
        <f>M27+K28</f>
        <v>#REF!</v>
      </c>
      <c r="N28" s="115" t="e">
        <f>O28/$P$29</f>
        <v>#REF!</v>
      </c>
      <c r="O28" s="116" t="e">
        <f>O27+M28</f>
        <v>#REF!</v>
      </c>
      <c r="P28" s="100"/>
      <c r="Q28" s="100"/>
      <c r="R28" s="100"/>
    </row>
    <row r="29" spans="1:25" ht="12.75" customHeight="1" thickBot="1">
      <c r="A29" s="92"/>
      <c r="B29" s="93"/>
      <c r="C29" s="860"/>
      <c r="D29" s="108" t="s">
        <v>144</v>
      </c>
      <c r="E29" s="114"/>
      <c r="F29" s="117"/>
      <c r="G29" s="118" t="e">
        <f>G27</f>
        <v>#REF!</v>
      </c>
      <c r="H29" s="119"/>
      <c r="I29" s="120" t="e">
        <f>I27</f>
        <v>#REF!</v>
      </c>
      <c r="J29" s="119"/>
      <c r="K29" s="120" t="e">
        <f>K27</f>
        <v>#REF!</v>
      </c>
      <c r="L29" s="119"/>
      <c r="M29" s="120" t="e">
        <f>M27</f>
        <v>#REF!</v>
      </c>
      <c r="N29" s="119"/>
      <c r="O29" s="121" t="e">
        <f>O27</f>
        <v>#REF!</v>
      </c>
      <c r="P29" s="65" t="e">
        <f>SUM(P3:P18)</f>
        <v>#REF!</v>
      </c>
      <c r="Q29" s="65"/>
      <c r="R29" s="100"/>
    </row>
    <row r="30" spans="1:25" ht="12.75" customHeight="1" thickBot="1">
      <c r="A30" s="92"/>
      <c r="B30" s="93"/>
      <c r="C30" s="860"/>
      <c r="D30" s="122" t="s">
        <v>145</v>
      </c>
      <c r="E30" s="123"/>
      <c r="F30" s="124"/>
      <c r="G30" s="125" t="e">
        <f>G28</f>
        <v>#REF!</v>
      </c>
      <c r="H30" s="126"/>
      <c r="I30" s="127" t="e">
        <f>I28</f>
        <v>#REF!</v>
      </c>
      <c r="J30" s="126"/>
      <c r="K30" s="127" t="e">
        <f>K28</f>
        <v>#REF!</v>
      </c>
      <c r="L30" s="126"/>
      <c r="M30" s="127" t="e">
        <f>M28</f>
        <v>#REF!</v>
      </c>
      <c r="N30" s="126"/>
      <c r="O30" s="128" t="e">
        <f>O28</f>
        <v>#REF!</v>
      </c>
      <c r="P30" s="189" t="e">
        <f>#REF!</f>
        <v>#REF!</v>
      </c>
      <c r="R30" s="100"/>
    </row>
    <row r="31" spans="1:25" ht="25.5" customHeight="1" thickBot="1">
      <c r="A31" s="92"/>
      <c r="B31" s="93"/>
      <c r="C31" s="860"/>
      <c r="D31" s="129" t="s">
        <v>146</v>
      </c>
      <c r="E31" s="862" t="s">
        <v>147</v>
      </c>
      <c r="F31" s="862"/>
      <c r="G31" s="862"/>
      <c r="H31" s="862"/>
      <c r="I31" s="862"/>
      <c r="J31" s="862"/>
      <c r="K31" s="862"/>
      <c r="L31" s="862"/>
      <c r="M31" s="862"/>
      <c r="N31" s="862"/>
      <c r="O31" s="863"/>
      <c r="P31" s="130"/>
      <c r="Q31" s="130"/>
      <c r="R31" s="130" t="s">
        <v>148</v>
      </c>
      <c r="S31" s="130"/>
      <c r="T31" s="131"/>
      <c r="U31" s="131"/>
      <c r="V31" s="131"/>
      <c r="W31" s="131"/>
      <c r="X31" s="131"/>
      <c r="Y31" s="132"/>
    </row>
    <row r="32" spans="1:25" ht="12.75" customHeight="1" thickBot="1">
      <c r="A32" s="92"/>
      <c r="B32" s="93"/>
      <c r="C32" s="860"/>
      <c r="D32" s="133"/>
      <c r="E32" s="134" t="s">
        <v>149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P32" s="130"/>
      <c r="Q32" s="130"/>
      <c r="R32" s="130"/>
      <c r="S32" s="130"/>
      <c r="T32" s="137"/>
      <c r="U32" s="137"/>
      <c r="V32" s="137"/>
      <c r="W32" s="137"/>
      <c r="X32" s="138"/>
      <c r="Y32" s="132"/>
    </row>
    <row r="33" spans="1:25" ht="12.75" customHeight="1" thickBot="1">
      <c r="A33" s="845"/>
      <c r="B33" s="846"/>
      <c r="C33" s="860"/>
      <c r="D33" s="133"/>
      <c r="E33" s="134" t="s">
        <v>150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P33" s="130"/>
      <c r="Q33" s="130"/>
      <c r="R33" s="130"/>
      <c r="S33" s="130"/>
      <c r="T33" s="137"/>
      <c r="U33" s="137"/>
      <c r="V33" s="137"/>
      <c r="W33" s="137"/>
      <c r="X33" s="138"/>
      <c r="Y33" s="132"/>
    </row>
    <row r="34" spans="1:25" ht="15" customHeight="1" thickBot="1">
      <c r="A34" s="845"/>
      <c r="B34" s="846"/>
      <c r="C34" s="860"/>
      <c r="D34" s="129"/>
      <c r="E34" s="134" t="s">
        <v>151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P34" s="130"/>
      <c r="Q34" s="130"/>
      <c r="R34" s="130"/>
      <c r="S34" s="130" t="s">
        <v>152</v>
      </c>
      <c r="T34" s="131"/>
      <c r="U34" s="131"/>
      <c r="V34" s="131"/>
      <c r="W34" s="131"/>
      <c r="X34" s="131"/>
      <c r="Y34" s="132"/>
    </row>
    <row r="35" spans="1:25" ht="15" customHeight="1" thickBot="1">
      <c r="A35" s="845"/>
      <c r="B35" s="846"/>
      <c r="C35" s="860"/>
      <c r="D35" s="133"/>
      <c r="E35" s="134" t="s">
        <v>153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P35" s="130"/>
      <c r="Q35" s="130"/>
      <c r="R35" s="130"/>
      <c r="S35" s="130"/>
      <c r="T35" s="137"/>
      <c r="U35" s="137"/>
      <c r="V35" s="137"/>
      <c r="W35" s="137"/>
      <c r="X35" s="138"/>
      <c r="Y35" s="132"/>
    </row>
    <row r="36" spans="1:25" ht="15.75" customHeight="1" thickBot="1">
      <c r="A36" s="847"/>
      <c r="B36" s="848"/>
      <c r="C36" s="861"/>
      <c r="D36" s="139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2"/>
      <c r="P36" s="143"/>
      <c r="Q36" s="143"/>
      <c r="R36" s="130"/>
      <c r="S36" s="143"/>
      <c r="T36" s="144"/>
      <c r="U36" s="144"/>
      <c r="V36" s="144"/>
      <c r="W36" s="144"/>
      <c r="X36" s="138"/>
      <c r="Y36" s="132"/>
    </row>
  </sheetData>
  <sheetProtection selectLockedCells="1" selectUnlockedCells="1"/>
  <customSheetViews>
    <customSheetView guid="{BF95D06F-A801-4955-B76D-3C2C36D85037}" showPageBreaks="1" fitToPage="1" printArea="1" hiddenColumns="1" state="hidden">
      <selection sqref="A1:A18"/>
      <rowBreaks count="1" manualBreakCount="1">
        <brk id="50" max="16383" man="1"/>
      </rowBreaks>
      <pageMargins left="0.19652777777777777" right="0.19652777777777777" top="0.78749999999999998" bottom="0.35416666666666669" header="0.51180555555555551" footer="0.51180555555555551"/>
      <printOptions horizontalCentered="1"/>
      <pageSetup paperSize="9" firstPageNumber="26" orientation="landscape" useFirstPageNumber="1" horizontalDpi="300" verticalDpi="300" r:id="rId1"/>
      <headerFooter alignWithMargins="0"/>
    </customSheetView>
    <customSheetView guid="{385977A3-6FE9-40C9-8548-2B73DA2662B2}" showPageBreaks="1" fitToPage="1" printArea="1" hiddenColumns="1" state="hidden">
      <selection sqref="A1:A18"/>
      <rowBreaks count="1" manualBreakCount="1">
        <brk id="50" max="16383" man="1"/>
      </rowBreaks>
      <pageMargins left="0.19652777777777777" right="0.19652777777777777" top="0.78749999999999998" bottom="0.35416666666666669" header="0.51180555555555551" footer="0.51180555555555551"/>
      <printOptions horizontalCentered="1"/>
      <pageSetup paperSize="9" firstPageNumber="26" orientation="landscape" useFirstPageNumber="1" horizontalDpi="300" verticalDpi="300" r:id="rId2"/>
      <headerFooter alignWithMargins="0"/>
    </customSheetView>
  </customSheetViews>
  <mergeCells count="28">
    <mergeCell ref="A33:B36"/>
    <mergeCell ref="A1:A18"/>
    <mergeCell ref="D1:D2"/>
    <mergeCell ref="F1:G1"/>
    <mergeCell ref="H1:I1"/>
    <mergeCell ref="D15:D16"/>
    <mergeCell ref="E15:E16"/>
    <mergeCell ref="D17:D18"/>
    <mergeCell ref="E17:E18"/>
    <mergeCell ref="C19:C36"/>
    <mergeCell ref="E31:O31"/>
    <mergeCell ref="D9:D10"/>
    <mergeCell ref="E9:E10"/>
    <mergeCell ref="E11:E12"/>
    <mergeCell ref="D13:D14"/>
    <mergeCell ref="E13:E14"/>
    <mergeCell ref="N1:O1"/>
    <mergeCell ref="D3:D4"/>
    <mergeCell ref="E3:E4"/>
    <mergeCell ref="B5:B14"/>
    <mergeCell ref="C5:C14"/>
    <mergeCell ref="D11:D12"/>
    <mergeCell ref="L1:M1"/>
    <mergeCell ref="D5:D6"/>
    <mergeCell ref="E5:E6"/>
    <mergeCell ref="D7:D8"/>
    <mergeCell ref="E7:E8"/>
    <mergeCell ref="J1:K1"/>
  </mergeCells>
  <printOptions horizontalCentered="1"/>
  <pageMargins left="0.19652777777777777" right="0.19652777777777777" top="0.78749999999999998" bottom="0.35416666666666669" header="0.51180555555555551" footer="0.51180555555555551"/>
  <pageSetup paperSize="9" firstPageNumber="26" orientation="landscape" useFirstPageNumber="1" horizontalDpi="300" verticalDpi="300" r:id="rId3"/>
  <headerFooter alignWithMargins="0"/>
  <rowBreaks count="1" manualBreakCount="1">
    <brk id="50" max="1638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0"/>
  <sheetViews>
    <sheetView workbookViewId="0"/>
  </sheetViews>
  <sheetFormatPr defaultRowHeight="15"/>
  <cols>
    <col min="1" max="1" width="78.85546875" customWidth="1"/>
    <col min="2" max="2" width="74.5703125" style="230" customWidth="1"/>
    <col min="3" max="3" width="38.5703125" bestFit="1" customWidth="1"/>
    <col min="4" max="4" width="131.28515625" customWidth="1"/>
    <col min="6" max="6" width="15.42578125" customWidth="1"/>
    <col min="7" max="7" width="15.85546875" customWidth="1"/>
    <col min="8" max="8" width="19" bestFit="1" customWidth="1"/>
    <col min="9" max="9" width="26.42578125" bestFit="1" customWidth="1"/>
    <col min="10" max="10" width="23" bestFit="1" customWidth="1"/>
    <col min="11" max="11" width="13" customWidth="1"/>
    <col min="12" max="12" width="13.5703125" customWidth="1"/>
    <col min="14" max="14" width="12.5703125" style="230" bestFit="1" customWidth="1"/>
    <col min="15" max="15" width="12.28515625" bestFit="1" customWidth="1"/>
    <col min="16" max="16" width="3.7109375" bestFit="1" customWidth="1"/>
    <col min="18" max="18" width="21.85546875" bestFit="1" customWidth="1"/>
    <col min="19" max="19" width="13.5703125" bestFit="1" customWidth="1"/>
    <col min="20" max="20" width="15.5703125" bestFit="1" customWidth="1"/>
    <col min="21" max="21" width="26.28515625" bestFit="1" customWidth="1"/>
    <col min="22" max="22" width="7.140625" bestFit="1" customWidth="1"/>
    <col min="23" max="23" width="13" bestFit="1" customWidth="1"/>
  </cols>
  <sheetData>
    <row r="1" spans="1:24" ht="23.25">
      <c r="R1" s="312" t="s">
        <v>343</v>
      </c>
      <c r="S1" s="312" t="s">
        <v>58</v>
      </c>
      <c r="T1" s="312" t="s">
        <v>250</v>
      </c>
      <c r="U1" s="312"/>
    </row>
    <row r="2" spans="1:24" ht="23.25">
      <c r="R2" s="332">
        <f>J190</f>
        <v>776.22570000000007</v>
      </c>
      <c r="S2" s="332">
        <f>J144</f>
        <v>89.936000000000007</v>
      </c>
      <c r="T2" s="332">
        <f>J102+J95+J84+J77+J48</f>
        <v>866.16169999999988</v>
      </c>
      <c r="U2" s="333" t="b">
        <f>T2=(R2+S2)</f>
        <v>1</v>
      </c>
    </row>
    <row r="5" spans="1:24" s="310" customFormat="1" ht="28.5" customHeight="1">
      <c r="A5" s="298" t="s">
        <v>316</v>
      </c>
      <c r="B5" s="299" t="s">
        <v>188</v>
      </c>
      <c r="C5" s="300"/>
      <c r="D5" s="301" t="s">
        <v>318</v>
      </c>
      <c r="E5" s="302"/>
      <c r="F5" s="303"/>
      <c r="G5" s="304"/>
      <c r="H5" s="305" t="s">
        <v>339</v>
      </c>
      <c r="I5" s="305" t="s">
        <v>336</v>
      </c>
      <c r="J5" s="305" t="s">
        <v>337</v>
      </c>
      <c r="K5" s="306"/>
      <c r="L5" s="306"/>
      <c r="M5" s="307"/>
      <c r="N5" s="308" t="s">
        <v>316</v>
      </c>
      <c r="O5" s="308" t="s">
        <v>188</v>
      </c>
      <c r="P5" s="309" t="s">
        <v>92</v>
      </c>
      <c r="Q5" s="308"/>
      <c r="R5" s="308" t="str">
        <f>MID(N6,1,1)</f>
        <v>R</v>
      </c>
      <c r="S5" s="308"/>
      <c r="T5" s="308"/>
      <c r="U5" s="308"/>
      <c r="V5" s="308"/>
      <c r="X5" s="311" t="str">
        <f>IF(C5="sinapi","ok",IF(C5="orse","ok",IF(P5="título","título",IF(P5="intertítulo","intertítulo",""))))</f>
        <v/>
      </c>
    </row>
    <row r="6" spans="1:24" s="248" customFormat="1" ht="28.5" customHeight="1">
      <c r="A6" s="266" t="str">
        <f>IF(MID(N6,1,1)="R","RECUPERAR",VLOOKUP(N6,'auxiliar memoria'!$D$40:$E$47,2,FALSE))</f>
        <v>RECUPERAR</v>
      </c>
      <c r="B6" s="267" t="str">
        <f>IF(MID(N6,1,1)="R",VLOOKUP(O6,'auxiliar memoria'!$D$40:$E$47,2,FALSE),VLOOKUP(O6,'auxiliar memoria'!$G$122:$H$140,2,FALSE))</f>
        <v>CERÂMICA APARTIR DO PISO ATÉ 1,60M</v>
      </c>
      <c r="C6" s="256"/>
      <c r="D6" s="268" t="s">
        <v>109</v>
      </c>
      <c r="E6" s="257"/>
      <c r="F6" s="258"/>
      <c r="G6" s="259">
        <v>31.37</v>
      </c>
      <c r="H6" s="259">
        <v>2.67</v>
      </c>
      <c r="I6" s="259">
        <f>IF(MID(N6,1,1)="r",1.6,IF(VLOOKUP(B6,'auxiliar memoria'!$H$122:$J$141,3,FALSE)="TETO",H6,VLOOKUP(B6,'auxiliar memoria'!$H$122:$J$141,3,FALSE)))</f>
        <v>1.6</v>
      </c>
      <c r="J6" s="259">
        <f>H6-I6</f>
        <v>1.0699999999999998</v>
      </c>
      <c r="K6" s="260"/>
      <c r="L6" s="260"/>
      <c r="M6" s="261"/>
      <c r="N6" s="262" t="s">
        <v>368</v>
      </c>
      <c r="O6" s="263">
        <v>2</v>
      </c>
      <c r="P6" s="247"/>
      <c r="Q6" s="263" t="s">
        <v>317</v>
      </c>
      <c r="R6" s="263"/>
      <c r="S6" s="263"/>
      <c r="T6" s="263"/>
      <c r="U6" s="263"/>
      <c r="V6" s="263"/>
      <c r="X6" s="264"/>
    </row>
    <row r="7" spans="1:24" s="248" customFormat="1" ht="28.5" customHeight="1">
      <c r="A7" s="266" t="str">
        <f>IF(MID(N7,1,1)="R","RECUPERAR",VLOOKUP(N7,'auxiliar memoria'!$D$40:$E$47,2,FALSE))</f>
        <v>RECUPERAR</v>
      </c>
      <c r="B7" s="267" t="str">
        <f>IF(MID(N7,1,1)="R",VLOOKUP(O7,'auxiliar memoria'!$D$40:$E$47,2,FALSE),VLOOKUP(O7,'auxiliar memoria'!$G$122:$H$140,2,FALSE))</f>
        <v>CERÂMICA APARTIR DO PISO ATÉ 1,60M</v>
      </c>
      <c r="C7" s="256"/>
      <c r="D7" s="268" t="s">
        <v>110</v>
      </c>
      <c r="E7" s="257"/>
      <c r="F7" s="258"/>
      <c r="G7" s="259">
        <v>31.3</v>
      </c>
      <c r="H7" s="259">
        <v>2.67</v>
      </c>
      <c r="I7" s="259">
        <f>IF(MID(N7,1,1)="r",1.6,IF(VLOOKUP(B7,'auxiliar memoria'!$H$122:$J$141,3,FALSE)="TETO",H7,VLOOKUP(B7,'auxiliar memoria'!$H$122:$J$141,3,FALSE)))</f>
        <v>1.6</v>
      </c>
      <c r="J7" s="259">
        <f t="shared" ref="J7:J35" si="0">H7-I7</f>
        <v>1.0699999999999998</v>
      </c>
      <c r="K7" s="260"/>
      <c r="L7" s="260"/>
      <c r="M7" s="261"/>
      <c r="N7" s="262" t="s">
        <v>368</v>
      </c>
      <c r="O7" s="263">
        <v>2</v>
      </c>
      <c r="P7" s="265"/>
      <c r="Q7" s="263"/>
      <c r="R7" s="263"/>
      <c r="S7" s="263"/>
      <c r="T7" s="263"/>
      <c r="U7" s="263"/>
      <c r="V7" s="263"/>
      <c r="X7" s="264"/>
    </row>
    <row r="8" spans="1:24" s="248" customFormat="1" ht="28.5" customHeight="1">
      <c r="A8" s="266" t="str">
        <f>IF(MID(N8,1,1)="R","RECUPERAR",VLOOKUP(N8,'auxiliar memoria'!$D$40:$E$47,2,FALSE))</f>
        <v>RECUPERAR</v>
      </c>
      <c r="B8" s="267" t="str">
        <f>IF(MID(N8,1,1)="R",VLOOKUP(O8,'auxiliar memoria'!$D$40:$E$47,2,FALSE),VLOOKUP(O8,'auxiliar memoria'!$G$122:$H$140,2,FALSE))</f>
        <v>CERÂMICA APARTIR DO PISO ATÉ 1,60M</v>
      </c>
      <c r="C8" s="256"/>
      <c r="D8" s="268" t="s">
        <v>111</v>
      </c>
      <c r="E8" s="257"/>
      <c r="F8" s="258"/>
      <c r="G8" s="259">
        <v>31.46</v>
      </c>
      <c r="H8" s="259">
        <v>2.67</v>
      </c>
      <c r="I8" s="259">
        <f>IF(MID(N8,1,1)="r",1.6,IF(VLOOKUP(B8,'auxiliar memoria'!$H$122:$J$141,3,FALSE)="TETO",H8,VLOOKUP(B8,'auxiliar memoria'!$H$122:$J$141,3,FALSE)))</f>
        <v>1.6</v>
      </c>
      <c r="J8" s="259">
        <f t="shared" si="0"/>
        <v>1.0699999999999998</v>
      </c>
      <c r="K8" s="260"/>
      <c r="L8" s="260"/>
      <c r="M8" s="261"/>
      <c r="N8" s="262" t="s">
        <v>368</v>
      </c>
      <c r="O8" s="263">
        <v>2</v>
      </c>
      <c r="P8" s="247" t="s">
        <v>92</v>
      </c>
      <c r="Q8" s="263"/>
      <c r="R8" s="263"/>
      <c r="S8" s="263"/>
      <c r="T8" s="263"/>
      <c r="U8" s="263"/>
      <c r="V8" s="263"/>
      <c r="X8" s="264" t="str">
        <f t="shared" ref="X8:X33" si="1">IF(C8="sinapi","ok",IF(C8="orse","ok",IF(P8="título","título",IF(P8="intertítulo","intertítulo",""))))</f>
        <v/>
      </c>
    </row>
    <row r="9" spans="1:24" s="248" customFormat="1" ht="23.25">
      <c r="A9" s="266" t="str">
        <f>IF(MID(N9,1,1)="R","RECUPERAR",VLOOKUP(N9,'auxiliar memoria'!$D$40:$E$47,2,FALSE))</f>
        <v>RECUPERAR</v>
      </c>
      <c r="B9" s="267" t="str">
        <f>IF(MID(N9,1,1)="R",VLOOKUP(O9,'auxiliar memoria'!$D$40:$E$47,2,FALSE),VLOOKUP(O9,'auxiliar memoria'!$G$122:$H$140,2,FALSE))</f>
        <v>CERÂMICA APARTIR DO PISO ATÉ 1,60M</v>
      </c>
      <c r="C9" s="256"/>
      <c r="D9" s="268" t="s">
        <v>112</v>
      </c>
      <c r="E9" s="257"/>
      <c r="F9" s="258"/>
      <c r="G9" s="259">
        <v>31.38</v>
      </c>
      <c r="H9" s="259">
        <v>2.67</v>
      </c>
      <c r="I9" s="259">
        <f>IF(MID(N9,1,1)="r",1.6,IF(VLOOKUP(B9,'auxiliar memoria'!$H$122:$J$141,3,FALSE)="TETO",H9,VLOOKUP(B9,'auxiliar memoria'!$H$122:$J$141,3,FALSE)))</f>
        <v>1.6</v>
      </c>
      <c r="J9" s="259">
        <f t="shared" si="0"/>
        <v>1.0699999999999998</v>
      </c>
      <c r="K9" s="260"/>
      <c r="L9" s="260"/>
      <c r="M9" s="261"/>
      <c r="N9" s="262" t="s">
        <v>368</v>
      </c>
      <c r="O9" s="263">
        <v>2</v>
      </c>
      <c r="P9" s="247" t="s">
        <v>92</v>
      </c>
      <c r="Q9" s="263"/>
      <c r="R9" s="263"/>
      <c r="S9" s="263"/>
      <c r="T9" s="263"/>
      <c r="U9" s="263"/>
      <c r="V9" s="263"/>
      <c r="X9" s="264" t="str">
        <f t="shared" si="1"/>
        <v/>
      </c>
    </row>
    <row r="10" spans="1:24" s="248" customFormat="1" ht="28.5" customHeight="1">
      <c r="A10" s="266" t="str">
        <f>IF(MID(N10,1,1)="R","RECUPERAR",VLOOKUP(N10,'auxiliar memoria'!$D$40:$E$47,2,FALSE))</f>
        <v>RECUPERAR</v>
      </c>
      <c r="B10" s="267" t="str">
        <f>IF(MID(N10,1,1)="R",VLOOKUP(O10,'auxiliar memoria'!$D$40:$E$47,2,FALSE),VLOOKUP(O10,'auxiliar memoria'!$G$122:$H$140,2,FALSE))</f>
        <v>CERÂMICA APARTIR DO PISO ATÉ 1,60M</v>
      </c>
      <c r="C10" s="256"/>
      <c r="D10" s="268" t="s">
        <v>113</v>
      </c>
      <c r="E10" s="257"/>
      <c r="F10" s="258"/>
      <c r="G10" s="259">
        <v>31.42</v>
      </c>
      <c r="H10" s="259">
        <v>2.67</v>
      </c>
      <c r="I10" s="259">
        <f>IF(MID(N10,1,1)="r",1.6,IF(VLOOKUP(B10,'auxiliar memoria'!$H$122:$J$141,3,FALSE)="TETO",H10,VLOOKUP(B10,'auxiliar memoria'!$H$122:$J$141,3,FALSE)))</f>
        <v>1.6</v>
      </c>
      <c r="J10" s="259">
        <f t="shared" si="0"/>
        <v>1.0699999999999998</v>
      </c>
      <c r="K10" s="260"/>
      <c r="L10" s="260"/>
      <c r="M10" s="261"/>
      <c r="N10" s="262" t="s">
        <v>368</v>
      </c>
      <c r="O10" s="263">
        <v>2</v>
      </c>
      <c r="P10" s="247" t="s">
        <v>92</v>
      </c>
      <c r="Q10" s="263"/>
      <c r="R10" s="263"/>
      <c r="S10" s="263"/>
      <c r="T10" s="263"/>
      <c r="U10" s="263"/>
      <c r="V10" s="263"/>
      <c r="X10" s="264" t="str">
        <f>IF(C10="sinapi","ok",IF(C10="orse","ok",IF(P10="título","título",IF(P10="intertítulo","intertítulo",""))))</f>
        <v/>
      </c>
    </row>
    <row r="11" spans="1:24" s="248" customFormat="1" ht="28.5" customHeight="1">
      <c r="A11" s="266" t="str">
        <f>IF(MID(N11,1,1)="R","RECUPERAR",VLOOKUP(N11,'auxiliar memoria'!$D$40:$E$47,2,FALSE))</f>
        <v>RECUPERAR</v>
      </c>
      <c r="B11" s="267" t="str">
        <f>IF(MID(N11,1,1)="R",VLOOKUP(O11,'auxiliar memoria'!$D$40:$E$47,2,FALSE),VLOOKUP(O11,'auxiliar memoria'!$G$122:$H$140,2,FALSE))</f>
        <v>CERÂMICA APARTIR DO PISO ATÉ 1,60M</v>
      </c>
      <c r="C11" s="256"/>
      <c r="D11" s="268" t="s">
        <v>114</v>
      </c>
      <c r="E11" s="257"/>
      <c r="F11" s="258"/>
      <c r="G11" s="259">
        <v>31.36</v>
      </c>
      <c r="H11" s="259">
        <v>2.67</v>
      </c>
      <c r="I11" s="259">
        <f>IF(MID(N11,1,1)="r",1.6,IF(VLOOKUP(B11,'auxiliar memoria'!$H$122:$J$141,3,FALSE)="TETO",H11,VLOOKUP(B11,'auxiliar memoria'!$H$122:$J$141,3,FALSE)))</f>
        <v>1.6</v>
      </c>
      <c r="J11" s="259">
        <f t="shared" si="0"/>
        <v>1.0699999999999998</v>
      </c>
      <c r="K11" s="260"/>
      <c r="L11" s="260"/>
      <c r="M11" s="261"/>
      <c r="N11" s="262" t="s">
        <v>368</v>
      </c>
      <c r="O11" s="263">
        <v>2</v>
      </c>
      <c r="P11" s="247" t="s">
        <v>92</v>
      </c>
      <c r="Q11" s="263"/>
      <c r="R11" s="263"/>
      <c r="S11" s="263"/>
      <c r="T11" s="263"/>
      <c r="U11" s="263"/>
      <c r="V11" s="263"/>
      <c r="X11" s="264" t="str">
        <f>IF(C11="sinapi","ok",IF(C11="orse","ok",IF(P11="título","título",IF(P11="intertítulo","intertítulo",""))))</f>
        <v/>
      </c>
    </row>
    <row r="12" spans="1:24" s="248" customFormat="1" ht="28.5" customHeight="1">
      <c r="A12" s="266" t="str">
        <f>IF(MID(N12,1,1)="R","RECUPERAR",VLOOKUP(N12,'auxiliar memoria'!$D$40:$E$47,2,FALSE))</f>
        <v>RECUPERAR</v>
      </c>
      <c r="B12" s="267" t="str">
        <f>IF(MID(N12,1,1)="R",VLOOKUP(O12,'auxiliar memoria'!$D$40:$E$47,2,FALSE),VLOOKUP(O12,'auxiliar memoria'!$G$122:$H$140,2,FALSE))</f>
        <v>CERÂMICA APARTIR DO PISO ATÉ 1,60M</v>
      </c>
      <c r="C12" s="256"/>
      <c r="D12" s="268" t="s">
        <v>115</v>
      </c>
      <c r="E12" s="269"/>
      <c r="F12" s="258"/>
      <c r="G12" s="259">
        <v>31.36</v>
      </c>
      <c r="H12" s="259">
        <v>2.67</v>
      </c>
      <c r="I12" s="259">
        <f>IF(MID(N12,1,1)="r",1.6,IF(VLOOKUP(B12,'auxiliar memoria'!$H$122:$J$141,3,FALSE)="TETO",H12,VLOOKUP(B12,'auxiliar memoria'!$H$122:$J$141,3,FALSE)))</f>
        <v>1.6</v>
      </c>
      <c r="J12" s="259">
        <f t="shared" si="0"/>
        <v>1.0699999999999998</v>
      </c>
      <c r="K12" s="260"/>
      <c r="L12" s="260"/>
      <c r="M12" s="261"/>
      <c r="N12" s="262" t="s">
        <v>368</v>
      </c>
      <c r="O12" s="263">
        <v>2</v>
      </c>
      <c r="P12" s="247" t="s">
        <v>92</v>
      </c>
      <c r="Q12" s="263"/>
      <c r="R12" s="263"/>
      <c r="S12" s="263"/>
      <c r="T12" s="263"/>
      <c r="U12" s="263"/>
      <c r="V12" s="263"/>
      <c r="X12" s="264" t="str">
        <f t="shared" si="1"/>
        <v/>
      </c>
    </row>
    <row r="13" spans="1:24" s="248" customFormat="1" ht="28.5" customHeight="1">
      <c r="A13" s="266" t="str">
        <f>IF(MID(N13,1,1)="R","RECUPERAR",VLOOKUP(N13,'auxiliar memoria'!$D$40:$E$47,2,FALSE))</f>
        <v>RECUPERAR</v>
      </c>
      <c r="B13" s="267" t="str">
        <f>IF(MID(N13,1,1)="R",VLOOKUP(O13,'auxiliar memoria'!$D$40:$E$47,2,FALSE),VLOOKUP(O13,'auxiliar memoria'!$G$122:$H$140,2,FALSE))</f>
        <v>CERÂMICA APARTIR DO PISO ATÉ 1,60M</v>
      </c>
      <c r="C13" s="256"/>
      <c r="D13" s="268" t="s">
        <v>116</v>
      </c>
      <c r="E13" s="269"/>
      <c r="F13" s="258"/>
      <c r="G13" s="259">
        <v>31.39</v>
      </c>
      <c r="H13" s="259">
        <v>2.67</v>
      </c>
      <c r="I13" s="259">
        <f>IF(MID(N13,1,1)="r",1.6,IF(VLOOKUP(B13,'auxiliar memoria'!$H$122:$J$141,3,FALSE)="TETO",H13,VLOOKUP(B13,'auxiliar memoria'!$H$122:$J$141,3,FALSE)))</f>
        <v>1.6</v>
      </c>
      <c r="J13" s="259">
        <f t="shared" si="0"/>
        <v>1.0699999999999998</v>
      </c>
      <c r="K13" s="260"/>
      <c r="L13" s="260"/>
      <c r="M13" s="261"/>
      <c r="N13" s="262" t="s">
        <v>368</v>
      </c>
      <c r="O13" s="263">
        <v>2</v>
      </c>
      <c r="P13" s="247" t="s">
        <v>92</v>
      </c>
      <c r="Q13" s="263"/>
      <c r="R13" s="263"/>
      <c r="S13" s="263"/>
      <c r="T13" s="263"/>
      <c r="U13" s="263"/>
      <c r="V13" s="263"/>
      <c r="X13" s="264" t="str">
        <f t="shared" si="1"/>
        <v/>
      </c>
    </row>
    <row r="14" spans="1:24" s="248" customFormat="1" ht="28.5" customHeight="1">
      <c r="A14" s="266" t="str">
        <f>IF(MID(N14,1,1)="R","RECUPERAR",VLOOKUP(N14,'auxiliar memoria'!$D$40:$E$47,2,FALSE))</f>
        <v>RECUPERAR</v>
      </c>
      <c r="B14" s="267" t="str">
        <f>IF(MID(N14,1,1)="R",VLOOKUP(O14,'auxiliar memoria'!$D$40:$E$47,2,FALSE),VLOOKUP(O14,'auxiliar memoria'!$G$122:$H$140,2,FALSE))</f>
        <v>CERÂMICA APARTIR DO PISO ATÉ 1,60M</v>
      </c>
      <c r="C14" s="256"/>
      <c r="D14" s="268" t="s">
        <v>176</v>
      </c>
      <c r="E14" s="259"/>
      <c r="F14" s="258"/>
      <c r="G14" s="259">
        <v>31.52</v>
      </c>
      <c r="H14" s="259">
        <v>2.67</v>
      </c>
      <c r="I14" s="259">
        <f>IF(MID(N14,1,1)="r",1.6,IF(VLOOKUP(B14,'auxiliar memoria'!$H$122:$J$141,3,FALSE)="TETO",H14,VLOOKUP(B14,'auxiliar memoria'!$H$122:$J$141,3,FALSE)))</f>
        <v>1.6</v>
      </c>
      <c r="J14" s="259">
        <f t="shared" si="0"/>
        <v>1.0699999999999998</v>
      </c>
      <c r="K14" s="260"/>
      <c r="L14" s="260"/>
      <c r="M14" s="261"/>
      <c r="N14" s="262" t="s">
        <v>368</v>
      </c>
      <c r="O14" s="263">
        <v>2</v>
      </c>
      <c r="P14" s="247" t="s">
        <v>92</v>
      </c>
      <c r="Q14" s="263"/>
      <c r="R14" s="263"/>
      <c r="S14" s="263"/>
      <c r="T14" s="263"/>
      <c r="U14" s="263"/>
      <c r="V14" s="263"/>
      <c r="X14" s="264" t="str">
        <f t="shared" si="1"/>
        <v/>
      </c>
    </row>
    <row r="15" spans="1:24" s="248" customFormat="1" ht="28.5" customHeight="1">
      <c r="A15" s="266" t="str">
        <f>IF(MID(N15,1,1)="R","RECUPERAR",VLOOKUP(N15,'auxiliar memoria'!$D$40:$E$47,2,FALSE))</f>
        <v>RECUPERAR</v>
      </c>
      <c r="B15" s="267" t="str">
        <f>IF(MID(N15,1,1)="R",VLOOKUP(O15,'auxiliar memoria'!$D$40:$E$47,2,FALSE),VLOOKUP(O15,'auxiliar memoria'!$G$122:$H$140,2,FALSE))</f>
        <v>CERÂMICA APARTIR DO PISO ATÉ 1,60M</v>
      </c>
      <c r="C15" s="256"/>
      <c r="D15" s="268" t="s">
        <v>175</v>
      </c>
      <c r="E15" s="259"/>
      <c r="F15" s="258"/>
      <c r="G15" s="259">
        <v>31.38</v>
      </c>
      <c r="H15" s="259">
        <v>2.67</v>
      </c>
      <c r="I15" s="259">
        <f>IF(MID(N15,1,1)="r",1.6,IF(VLOOKUP(B15,'auxiliar memoria'!$H$122:$J$141,3,FALSE)="TETO",H15,VLOOKUP(B15,'auxiliar memoria'!$H$122:$J$141,3,FALSE)))</f>
        <v>1.6</v>
      </c>
      <c r="J15" s="259">
        <f t="shared" si="0"/>
        <v>1.0699999999999998</v>
      </c>
      <c r="K15" s="260"/>
      <c r="L15" s="260"/>
      <c r="M15" s="261"/>
      <c r="N15" s="262" t="s">
        <v>368</v>
      </c>
      <c r="O15" s="263">
        <v>2</v>
      </c>
      <c r="P15" s="247" t="s">
        <v>92</v>
      </c>
      <c r="Q15" s="263"/>
      <c r="R15" s="263"/>
      <c r="S15" s="263"/>
      <c r="T15" s="263"/>
      <c r="U15" s="263"/>
      <c r="V15" s="263"/>
      <c r="X15" s="264" t="str">
        <f t="shared" si="1"/>
        <v/>
      </c>
    </row>
    <row r="16" spans="1:24" s="248" customFormat="1" ht="28.5" customHeight="1">
      <c r="A16" s="266" t="str">
        <f>IF(MID(N16,1,1)="R","RECUPERAR",VLOOKUP(N16,'auxiliar memoria'!$D$40:$E$47,2,FALSE))</f>
        <v>RECUPERAR</v>
      </c>
      <c r="B16" s="267" t="str">
        <f>IF(MID(N16,1,1)="R",VLOOKUP(O16,'auxiliar memoria'!$D$40:$E$47,2,FALSE),VLOOKUP(O16,'auxiliar memoria'!$G$122:$H$140,2,FALSE))</f>
        <v>CERÂMICA APARTIR DO PISO ATÉ 1,60M</v>
      </c>
      <c r="C16" s="256"/>
      <c r="D16" s="268" t="s">
        <v>174</v>
      </c>
      <c r="E16" s="269"/>
      <c r="F16" s="258"/>
      <c r="G16" s="259">
        <v>31.38</v>
      </c>
      <c r="H16" s="259">
        <v>2.67</v>
      </c>
      <c r="I16" s="259">
        <f>IF(MID(N16,1,1)="r",1.6,IF(VLOOKUP(B16,'auxiliar memoria'!$H$122:$J$141,3,FALSE)="TETO",H16,VLOOKUP(B16,'auxiliar memoria'!$H$122:$J$141,3,FALSE)))</f>
        <v>1.6</v>
      </c>
      <c r="J16" s="259">
        <f t="shared" si="0"/>
        <v>1.0699999999999998</v>
      </c>
      <c r="K16" s="260"/>
      <c r="L16" s="260"/>
      <c r="M16" s="261"/>
      <c r="N16" s="262" t="s">
        <v>368</v>
      </c>
      <c r="O16" s="263">
        <v>2</v>
      </c>
      <c r="P16" s="247" t="s">
        <v>92</v>
      </c>
      <c r="Q16" s="263"/>
      <c r="R16" s="263"/>
      <c r="S16" s="263"/>
      <c r="T16" s="263"/>
      <c r="U16" s="263"/>
      <c r="V16" s="263"/>
      <c r="X16" s="264" t="str">
        <f t="shared" si="1"/>
        <v/>
      </c>
    </row>
    <row r="17" spans="1:24" s="250" customFormat="1" ht="28.5" customHeight="1">
      <c r="A17" s="278" t="str">
        <f>IF(MID(N17,1,1)="R","RECUPERAR",VLOOKUP(N17,'auxiliar memoria'!$D$40:$E$47,2,FALSE))</f>
        <v>PINTURA</v>
      </c>
      <c r="B17" s="279" t="str">
        <f>IF(MID(N17,1,1)="R",VLOOKUP(O17,'auxiliar memoria'!$D$40:$E$47,2,FALSE),VLOOKUP(O17,'auxiliar memoria'!$G$122:$H$140,2,FALSE))</f>
        <v>Pastilha Cerâmica na composição 06.</v>
      </c>
      <c r="C17" s="272"/>
      <c r="D17" s="280" t="s">
        <v>121</v>
      </c>
      <c r="E17" s="274"/>
      <c r="F17" s="273"/>
      <c r="G17" s="274">
        <v>31.22</v>
      </c>
      <c r="H17" s="274">
        <v>2.5499999999999998</v>
      </c>
      <c r="I17" s="274">
        <f>IF(MID(N17,1,1)="r",1.6,IF(VLOOKUP(B17,'auxiliar memoria'!$H$122:$J$141,3,FALSE)="TETO",H17,VLOOKUP(B17,'auxiliar memoria'!$H$122:$J$141,3,FALSE)))</f>
        <v>1.8</v>
      </c>
      <c r="J17" s="274">
        <f t="shared" si="0"/>
        <v>0.74999999999999978</v>
      </c>
      <c r="K17" s="275"/>
      <c r="L17" s="275"/>
      <c r="M17" s="276"/>
      <c r="N17" s="277">
        <v>1</v>
      </c>
      <c r="O17" s="188">
        <v>6</v>
      </c>
      <c r="P17" s="249" t="s">
        <v>92</v>
      </c>
      <c r="Q17" s="188"/>
      <c r="R17" s="188"/>
      <c r="S17" s="188"/>
      <c r="T17" s="188"/>
      <c r="U17" s="188"/>
      <c r="V17" s="188"/>
      <c r="X17" s="186" t="str">
        <f t="shared" si="1"/>
        <v/>
      </c>
    </row>
    <row r="18" spans="1:24" s="250" customFormat="1" ht="28.5" customHeight="1">
      <c r="A18" s="278" t="str">
        <f>IF(MID(N18,1,1)="R","RECUPERAR",VLOOKUP(N18,'auxiliar memoria'!$D$40:$E$47,2,FALSE))</f>
        <v>PINTURA</v>
      </c>
      <c r="B18" s="279" t="str">
        <f>IF(MID(N18,1,1)="R",VLOOKUP(O18,'auxiliar memoria'!$D$40:$E$47,2,FALSE),VLOOKUP(O18,'auxiliar memoria'!$G$122:$H$140,2,FALSE))</f>
        <v>Pastilha Cerâmica na composição 06.</v>
      </c>
      <c r="C18" s="272"/>
      <c r="D18" s="280" t="s">
        <v>354</v>
      </c>
      <c r="E18" s="274"/>
      <c r="F18" s="273"/>
      <c r="G18" s="274">
        <v>18.22</v>
      </c>
      <c r="H18" s="274">
        <v>2.5499999999999998</v>
      </c>
      <c r="I18" s="274">
        <f>IF(MID(N18,1,1)="r",1.6,IF(VLOOKUP(B18,'auxiliar memoria'!$H$122:$J$141,3,FALSE)="TETO",H18,VLOOKUP(B18,'auxiliar memoria'!$H$122:$J$141,3,FALSE)))</f>
        <v>1.8</v>
      </c>
      <c r="J18" s="274">
        <f t="shared" si="0"/>
        <v>0.74999999999999978</v>
      </c>
      <c r="K18" s="275"/>
      <c r="L18" s="275"/>
      <c r="M18" s="276"/>
      <c r="N18" s="277">
        <v>1</v>
      </c>
      <c r="O18" s="188">
        <v>6</v>
      </c>
      <c r="P18" s="249" t="s">
        <v>92</v>
      </c>
      <c r="Q18" s="188"/>
      <c r="R18" s="188"/>
      <c r="S18" s="188"/>
      <c r="T18" s="188"/>
      <c r="U18" s="188"/>
      <c r="V18" s="188"/>
      <c r="X18" s="186" t="str">
        <f t="shared" si="1"/>
        <v/>
      </c>
    </row>
    <row r="19" spans="1:24" s="250" customFormat="1" ht="28.5" customHeight="1">
      <c r="A19" s="278" t="str">
        <f>IF(MID(N19,1,1)="R","RECUPERAR",VLOOKUP(N19,'auxiliar memoria'!$D$40:$E$47,2,FALSE))</f>
        <v>PINTURA</v>
      </c>
      <c r="B19" s="279" t="str">
        <f>IF(MID(N19,1,1)="R",VLOOKUP(O19,'auxiliar memoria'!$D$40:$E$47,2,FALSE),VLOOKUP(O19,'auxiliar memoria'!$G$122:$H$140,2,FALSE))</f>
        <v>Pastilha Cerâmica na composição 06.</v>
      </c>
      <c r="C19" s="272"/>
      <c r="D19" s="280" t="s">
        <v>355</v>
      </c>
      <c r="E19" s="282"/>
      <c r="F19" s="273"/>
      <c r="G19" s="274">
        <v>19.46</v>
      </c>
      <c r="H19" s="274">
        <v>2.5499999999999998</v>
      </c>
      <c r="I19" s="274">
        <f>IF(MID(N19,1,1)="r",1.6,IF(VLOOKUP(B19,'auxiliar memoria'!$H$122:$J$141,3,FALSE)="TETO",H19,VLOOKUP(B19,'auxiliar memoria'!$H$122:$J$141,3,FALSE)))</f>
        <v>1.8</v>
      </c>
      <c r="J19" s="274">
        <f t="shared" si="0"/>
        <v>0.74999999999999978</v>
      </c>
      <c r="K19" s="275"/>
      <c r="L19" s="275"/>
      <c r="M19" s="276"/>
      <c r="N19" s="277">
        <v>1</v>
      </c>
      <c r="O19" s="188">
        <v>6</v>
      </c>
      <c r="P19" s="249" t="s">
        <v>92</v>
      </c>
      <c r="Q19" s="188"/>
      <c r="R19" s="188"/>
      <c r="S19" s="188"/>
      <c r="T19" s="188"/>
      <c r="U19" s="188"/>
      <c r="V19" s="188"/>
      <c r="X19" s="186" t="str">
        <f t="shared" si="1"/>
        <v/>
      </c>
    </row>
    <row r="20" spans="1:24" s="250" customFormat="1" ht="28.5" customHeight="1">
      <c r="A20" s="278" t="str">
        <f>IF(MID(N20,1,1)="R","RECUPERAR",VLOOKUP(N20,'auxiliar memoria'!$D$40:$E$47,2,FALSE))</f>
        <v>PINTURA</v>
      </c>
      <c r="B20" s="279" t="str">
        <f>IF(MID(N20,1,1)="R",VLOOKUP(O20,'auxiliar memoria'!$D$40:$E$47,2,FALSE),VLOOKUP(O20,'auxiliar memoria'!$G$122:$H$140,2,FALSE))</f>
        <v>Pastilha Cerâmica na composição 06.</v>
      </c>
      <c r="C20" s="272"/>
      <c r="D20" s="280" t="s">
        <v>356</v>
      </c>
      <c r="E20" s="274"/>
      <c r="F20" s="273"/>
      <c r="G20" s="274">
        <v>18.22</v>
      </c>
      <c r="H20" s="274">
        <v>2.5499999999999998</v>
      </c>
      <c r="I20" s="274">
        <f>IF(MID(N20,1,1)="r",1.6,IF(VLOOKUP(B20,'auxiliar memoria'!$H$122:$J$141,3,FALSE)="TETO",H20,VLOOKUP(B20,'auxiliar memoria'!$H$122:$J$141,3,FALSE)))</f>
        <v>1.8</v>
      </c>
      <c r="J20" s="274">
        <f t="shared" si="0"/>
        <v>0.74999999999999978</v>
      </c>
      <c r="K20" s="275"/>
      <c r="L20" s="275"/>
      <c r="M20" s="276"/>
      <c r="N20" s="277">
        <v>1</v>
      </c>
      <c r="O20" s="188">
        <v>6</v>
      </c>
      <c r="P20" s="249" t="s">
        <v>92</v>
      </c>
      <c r="Q20" s="188"/>
      <c r="R20" s="188"/>
      <c r="S20" s="188"/>
      <c r="T20" s="188"/>
      <c r="U20" s="188"/>
      <c r="V20" s="188"/>
      <c r="X20" s="186" t="str">
        <f t="shared" si="1"/>
        <v/>
      </c>
    </row>
    <row r="21" spans="1:24" s="250" customFormat="1" ht="28.5" customHeight="1">
      <c r="A21" s="278" t="str">
        <f>IF(MID(N21,1,1)="R","RECUPERAR",VLOOKUP(N21,'auxiliar memoria'!$D$40:$E$47,2,FALSE))</f>
        <v>PINTURA</v>
      </c>
      <c r="B21" s="279" t="str">
        <f>IF(MID(N21,1,1)="R",VLOOKUP(O21,'auxiliar memoria'!$D$40:$E$47,2,FALSE),VLOOKUP(O21,'auxiliar memoria'!$G$122:$H$140,2,FALSE))</f>
        <v>Pastilha Cerâmica na composição 06.</v>
      </c>
      <c r="C21" s="272"/>
      <c r="D21" s="280" t="s">
        <v>357</v>
      </c>
      <c r="E21" s="282"/>
      <c r="F21" s="273"/>
      <c r="G21" s="274">
        <v>19.440000000000001</v>
      </c>
      <c r="H21" s="274">
        <v>2.5499999999999998</v>
      </c>
      <c r="I21" s="274">
        <f>IF(MID(N21,1,1)="r",1.6,IF(VLOOKUP(B21,'auxiliar memoria'!$H$122:$J$141,3,FALSE)="TETO",H21,VLOOKUP(B21,'auxiliar memoria'!$H$122:$J$141,3,FALSE)))</f>
        <v>1.8</v>
      </c>
      <c r="J21" s="274">
        <f t="shared" si="0"/>
        <v>0.74999999999999978</v>
      </c>
      <c r="K21" s="275"/>
      <c r="L21" s="275"/>
      <c r="M21" s="276"/>
      <c r="N21" s="277">
        <v>1</v>
      </c>
      <c r="O21" s="188">
        <v>6</v>
      </c>
      <c r="P21" s="249" t="s">
        <v>92</v>
      </c>
      <c r="Q21" s="188"/>
      <c r="R21" s="188"/>
      <c r="S21" s="188"/>
      <c r="T21" s="188"/>
      <c r="U21" s="188"/>
      <c r="V21" s="188"/>
      <c r="X21" s="186" t="str">
        <f t="shared" si="1"/>
        <v/>
      </c>
    </row>
    <row r="22" spans="1:24" s="248" customFormat="1" ht="28.5" customHeight="1">
      <c r="A22" s="266" t="str">
        <f>IF(MID(N22,1,1)="R","RECUPERAR",VLOOKUP(N22,'auxiliar memoria'!$D$40:$E$47,2,FALSE))</f>
        <v>RECUPERAR</v>
      </c>
      <c r="B22" s="267" t="str">
        <f>IF(MID(N22,1,1)="R",VLOOKUP(O22,'auxiliar memoria'!$D$40:$E$47,2,FALSE),VLOOKUP(O22,'auxiliar memoria'!$G$122:$H$140,2,FALSE))</f>
        <v>CERÂMICA APARTIR DO PISO ATÉ 1,60M</v>
      </c>
      <c r="C22" s="256"/>
      <c r="D22" s="268" t="s">
        <v>358</v>
      </c>
      <c r="E22" s="269"/>
      <c r="F22" s="258"/>
      <c r="G22" s="259">
        <v>6.73</v>
      </c>
      <c r="H22" s="259">
        <v>2.5499999999999998</v>
      </c>
      <c r="I22" s="259">
        <f>IF(MID(N22,1,1)="r",1.6,IF(VLOOKUP(B22,'auxiliar memoria'!$H$122:$J$141,3,FALSE)="TETO",H22,VLOOKUP(B22,'auxiliar memoria'!$H$122:$J$141,3,FALSE)))</f>
        <v>1.6</v>
      </c>
      <c r="J22" s="259">
        <f t="shared" si="0"/>
        <v>0.94999999999999973</v>
      </c>
      <c r="K22" s="260"/>
      <c r="L22" s="260"/>
      <c r="M22" s="261"/>
      <c r="N22" s="262" t="s">
        <v>368</v>
      </c>
      <c r="O22" s="263">
        <v>2</v>
      </c>
      <c r="P22" s="247" t="s">
        <v>92</v>
      </c>
      <c r="Q22" s="263"/>
      <c r="R22" s="263"/>
      <c r="S22" s="263"/>
      <c r="T22" s="263"/>
      <c r="U22" s="263"/>
      <c r="V22" s="263"/>
      <c r="X22" s="264" t="str">
        <f t="shared" si="1"/>
        <v/>
      </c>
    </row>
    <row r="23" spans="1:24" s="248" customFormat="1" ht="28.5" customHeight="1">
      <c r="A23" s="266" t="str">
        <f>IF(MID(N23,1,1)="R","RECUPERAR",VLOOKUP(N23,'auxiliar memoria'!$D$40:$E$47,2,FALSE))</f>
        <v>RECUPERAR</v>
      </c>
      <c r="B23" s="267" t="str">
        <f>IF(MID(N23,1,1)="R",VLOOKUP(O23,'auxiliar memoria'!$D$40:$E$47,2,FALSE),VLOOKUP(O23,'auxiliar memoria'!$G$122:$H$140,2,FALSE))</f>
        <v>CERÂMICA APARTIR DO PISO ATÉ 1,60M</v>
      </c>
      <c r="C23" s="256"/>
      <c r="D23" s="268" t="s">
        <v>359</v>
      </c>
      <c r="E23" s="269"/>
      <c r="F23" s="258"/>
      <c r="G23" s="259">
        <v>6.87</v>
      </c>
      <c r="H23" s="259">
        <v>2.5499999999999998</v>
      </c>
      <c r="I23" s="259">
        <f>IF(MID(N23,1,1)="r",1.6,IF(VLOOKUP(B23,'auxiliar memoria'!$H$122:$J$141,3,FALSE)="TETO",H23,VLOOKUP(B23,'auxiliar memoria'!$H$122:$J$141,3,FALSE)))</f>
        <v>1.6</v>
      </c>
      <c r="J23" s="259">
        <f t="shared" si="0"/>
        <v>0.94999999999999973</v>
      </c>
      <c r="K23" s="260"/>
      <c r="L23" s="260"/>
      <c r="M23" s="261"/>
      <c r="N23" s="262" t="s">
        <v>368</v>
      </c>
      <c r="O23" s="263">
        <v>2</v>
      </c>
      <c r="P23" s="247" t="s">
        <v>92</v>
      </c>
      <c r="Q23" s="263"/>
      <c r="R23" s="263"/>
      <c r="S23" s="263"/>
      <c r="T23" s="263"/>
      <c r="U23" s="263"/>
      <c r="V23" s="263"/>
      <c r="X23" s="264" t="str">
        <f t="shared" si="1"/>
        <v/>
      </c>
    </row>
    <row r="24" spans="1:24" s="250" customFormat="1" ht="28.5" customHeight="1">
      <c r="A24" s="278" t="str">
        <f>IF(MID(N24,1,1)="R","RECUPERAR",VLOOKUP(N24,'auxiliar memoria'!$D$40:$E$47,2,FALSE))</f>
        <v>PINTURA</v>
      </c>
      <c r="B24" s="279" t="str">
        <f>IF(MID(N24,1,1)="R",VLOOKUP(O24,'auxiliar memoria'!$D$40:$E$47,2,FALSE),VLOOKUP(O24,'auxiliar memoria'!$G$122:$H$140,2,FALSE))</f>
        <v>Pastilha Cerâmica na composição 01 até 1,80m</v>
      </c>
      <c r="C24" s="272"/>
      <c r="D24" s="280" t="s">
        <v>360</v>
      </c>
      <c r="E24" s="274"/>
      <c r="F24" s="273"/>
      <c r="G24" s="274">
        <v>25.07</v>
      </c>
      <c r="H24" s="281">
        <v>2.5499999999999998</v>
      </c>
      <c r="I24" s="274">
        <f>IF(MID(N24,1,1)="r",1.6,IF(VLOOKUP(B24,'auxiliar memoria'!$H$122:$J$141,3,FALSE)="TETO",H24,VLOOKUP(B24,'auxiliar memoria'!$H$122:$J$141,3,FALSE)))</f>
        <v>1.8</v>
      </c>
      <c r="J24" s="274">
        <f t="shared" si="0"/>
        <v>0.74999999999999978</v>
      </c>
      <c r="K24" s="275"/>
      <c r="L24" s="275"/>
      <c r="M24" s="276"/>
      <c r="N24" s="277">
        <v>1</v>
      </c>
      <c r="O24" s="188">
        <v>1</v>
      </c>
      <c r="P24" s="249" t="s">
        <v>92</v>
      </c>
      <c r="Q24" s="188"/>
      <c r="R24" s="188"/>
      <c r="S24" s="188"/>
      <c r="T24" s="188"/>
      <c r="U24" s="188"/>
      <c r="V24" s="188"/>
      <c r="X24" s="186" t="str">
        <f t="shared" si="1"/>
        <v/>
      </c>
    </row>
    <row r="25" spans="1:24" s="248" customFormat="1" ht="28.5" customHeight="1">
      <c r="A25" s="266" t="str">
        <f>IF(MID(N25,1,1)="R","RECUPERAR",VLOOKUP(N25,'auxiliar memoria'!$D$40:$E$47,2,FALSE))</f>
        <v>RECUPERAR</v>
      </c>
      <c r="B25" s="267" t="str">
        <f>IF(MID(N25,1,1)="R",VLOOKUP(O25,'auxiliar memoria'!$D$40:$E$47,2,FALSE),VLOOKUP(O25,'auxiliar memoria'!$G$122:$H$140,2,FALSE))</f>
        <v>CERÂMICA APARTIR DO PISO ATÉ 1,60M</v>
      </c>
      <c r="C25" s="256"/>
      <c r="D25" s="268" t="s">
        <v>365</v>
      </c>
      <c r="E25" s="259"/>
      <c r="F25" s="258"/>
      <c r="G25" s="259">
        <v>128.55000000000001</v>
      </c>
      <c r="H25" s="271">
        <v>3.65</v>
      </c>
      <c r="I25" s="259">
        <f>IF(MID(N25,1,1)="r",1.6,IF(VLOOKUP(B25,'auxiliar memoria'!$H$122:$J$141,3,FALSE)="TETO",H25,VLOOKUP(B25,'auxiliar memoria'!$H$122:$J$141,3,FALSE)))</f>
        <v>1.6</v>
      </c>
      <c r="J25" s="259">
        <f t="shared" si="0"/>
        <v>2.0499999999999998</v>
      </c>
      <c r="K25" s="260"/>
      <c r="L25" s="260"/>
      <c r="M25" s="261"/>
      <c r="N25" s="262" t="s">
        <v>368</v>
      </c>
      <c r="O25" s="263">
        <v>2</v>
      </c>
      <c r="P25" s="247" t="s">
        <v>92</v>
      </c>
      <c r="Q25" s="263"/>
      <c r="R25" s="263"/>
      <c r="S25" s="263"/>
      <c r="T25" s="263"/>
      <c r="U25" s="263"/>
      <c r="V25" s="263"/>
      <c r="X25" s="264" t="str">
        <f t="shared" si="1"/>
        <v/>
      </c>
    </row>
    <row r="26" spans="1:24" s="292" customFormat="1" ht="28.5" customHeight="1">
      <c r="A26" s="315" t="str">
        <f>IF(MID(N26,1,1)="R","RECUPERAR",VLOOKUP(N26,'auxiliar memoria'!$D$40:$E$47,2,FALSE))</f>
        <v>CERÂMICA ATÉ O TETO / FORRO</v>
      </c>
      <c r="B26" s="295" t="str">
        <f>IF(MID(N26,1,1)="R",VLOOKUP(O26,'auxiliar memoria'!$D$40:$E$47,2,FALSE),VLOOKUP(O26,'auxiliar memoria'!$G$122:$H$140,2,FALSE))</f>
        <v>Porcelanato branco acetinado, dimensões de 45x45cm.</v>
      </c>
      <c r="C26" s="284"/>
      <c r="D26" s="294" t="s">
        <v>361</v>
      </c>
      <c r="E26" s="285"/>
      <c r="F26" s="286"/>
      <c r="G26" s="287">
        <f>6.91+6.68+6.49+6.89+6.69+7.43+23.31-5.6</f>
        <v>58.79999999999999</v>
      </c>
      <c r="H26" s="287">
        <v>2.5499999999999998</v>
      </c>
      <c r="I26" s="287">
        <f>IF(MID(N26,1,1)="r",1.6,IF(VLOOKUP(B26,'auxiliar memoria'!$H$122:$J$141,3,FALSE)="TETO",H26,VLOOKUP(B26,'auxiliar memoria'!$H$122:$J$141,3,FALSE)))</f>
        <v>2.5499999999999998</v>
      </c>
      <c r="J26" s="287">
        <f t="shared" si="0"/>
        <v>0</v>
      </c>
      <c r="K26" s="288"/>
      <c r="L26" s="288"/>
      <c r="M26" s="289"/>
      <c r="N26" s="316">
        <v>3</v>
      </c>
      <c r="O26" s="290">
        <v>8</v>
      </c>
      <c r="P26" s="291" t="s">
        <v>92</v>
      </c>
      <c r="Q26" s="290"/>
      <c r="R26" s="290"/>
      <c r="S26" s="290"/>
      <c r="T26" s="290"/>
      <c r="U26" s="290"/>
      <c r="V26" s="290"/>
      <c r="X26" s="293" t="str">
        <f t="shared" si="1"/>
        <v/>
      </c>
    </row>
    <row r="27" spans="1:24" s="292" customFormat="1" ht="28.5" customHeight="1">
      <c r="A27" s="315" t="str">
        <f>IF(MID(N27,1,1)="R","RECUPERAR",VLOOKUP(N27,'auxiliar memoria'!$D$40:$E$47,2,FALSE))</f>
        <v>CERÂMICA ATÉ O TETO / FORRO</v>
      </c>
      <c r="B27" s="295" t="str">
        <f>IF(MID(N27,1,1)="R",VLOOKUP(O27,'auxiliar memoria'!$D$40:$E$47,2,FALSE),VLOOKUP(O27,'auxiliar memoria'!$G$122:$H$140,2,FALSE))</f>
        <v>Porcelanato branco acetinado, dimensões de 45x45cm.</v>
      </c>
      <c r="C27" s="284"/>
      <c r="D27" s="294" t="s">
        <v>369</v>
      </c>
      <c r="E27" s="285"/>
      <c r="F27" s="286"/>
      <c r="G27" s="287">
        <v>5.6</v>
      </c>
      <c r="H27" s="287">
        <v>2.5499999999999998</v>
      </c>
      <c r="I27" s="287">
        <f>IF(MID(N27,1,1)="r",1.6,IF(VLOOKUP(B27,'auxiliar memoria'!$H$122:$J$141,3,FALSE)="TETO",H27,VLOOKUP(B27,'auxiliar memoria'!$H$122:$J$141,3,FALSE)))</f>
        <v>2.5499999999999998</v>
      </c>
      <c r="J27" s="287">
        <f t="shared" si="0"/>
        <v>0</v>
      </c>
      <c r="K27" s="288"/>
      <c r="L27" s="288"/>
      <c r="M27" s="289"/>
      <c r="N27" s="316">
        <v>3</v>
      </c>
      <c r="O27" s="290">
        <v>8</v>
      </c>
      <c r="P27" s="291" t="s">
        <v>92</v>
      </c>
      <c r="Q27" s="290"/>
      <c r="R27" s="290"/>
      <c r="S27" s="290"/>
      <c r="T27" s="290"/>
      <c r="U27" s="290"/>
      <c r="V27" s="290"/>
      <c r="X27" s="293" t="str">
        <f t="shared" si="1"/>
        <v/>
      </c>
    </row>
    <row r="28" spans="1:24" s="292" customFormat="1" ht="28.5" customHeight="1">
      <c r="A28" s="315" t="str">
        <f>IF(MID(N28,1,1)="R","RECUPERAR",VLOOKUP(N28,'auxiliar memoria'!$D$40:$E$47,2,FALSE))</f>
        <v>CERÂMICA ATÉ O TETO / FORRO</v>
      </c>
      <c r="B28" s="295" t="str">
        <f>IF(MID(N28,1,1)="R",VLOOKUP(O28,'auxiliar memoria'!$D$40:$E$47,2,FALSE),VLOOKUP(O28,'auxiliar memoria'!$G$122:$H$140,2,FALSE))</f>
        <v>Porcelanato branco acetinado, dimensões de 45x45cm.</v>
      </c>
      <c r="C28" s="284"/>
      <c r="D28" s="294" t="s">
        <v>353</v>
      </c>
      <c r="E28" s="285"/>
      <c r="F28" s="286"/>
      <c r="G28" s="287">
        <f>6.61+6.39+6.19+6.59+6.39+7.13+23.29-5.6</f>
        <v>56.99</v>
      </c>
      <c r="H28" s="287">
        <v>2.5499999999999998</v>
      </c>
      <c r="I28" s="287">
        <f>IF(MID(N28,1,1)="r",1.6,IF(VLOOKUP(B28,'auxiliar memoria'!$H$122:$J$141,3,FALSE)="TETO",H28,VLOOKUP(B28,'auxiliar memoria'!$H$122:$J$141,3,FALSE)))</f>
        <v>2.5499999999999998</v>
      </c>
      <c r="J28" s="287">
        <f t="shared" si="0"/>
        <v>0</v>
      </c>
      <c r="K28" s="288"/>
      <c r="L28" s="288"/>
      <c r="M28" s="289"/>
      <c r="N28" s="316">
        <v>3</v>
      </c>
      <c r="O28" s="290">
        <v>8</v>
      </c>
      <c r="P28" s="291" t="s">
        <v>92</v>
      </c>
      <c r="Q28" s="290"/>
      <c r="R28" s="290"/>
      <c r="S28" s="290"/>
      <c r="T28" s="290"/>
      <c r="U28" s="290"/>
      <c r="V28" s="290"/>
      <c r="X28" s="293" t="str">
        <f t="shared" si="1"/>
        <v/>
      </c>
    </row>
    <row r="29" spans="1:24" s="329" customFormat="1" ht="28.5" customHeight="1">
      <c r="A29" s="317" t="str">
        <f>IF(MID(N29,1,1)="R","RECUPERAR",VLOOKUP(N29,'auxiliar memoria'!$D$40:$E$47,2,FALSE))</f>
        <v>CERÂMICA ATÉ O TETO / FORRO</v>
      </c>
      <c r="B29" s="318" t="str">
        <f>IF(MID(N29,1,1)="R",VLOOKUP(O29,'auxiliar memoria'!$D$40:$E$47,2,FALSE),VLOOKUP(O29,'auxiliar memoria'!$G$122:$H$140,2,FALSE))</f>
        <v>Cerâmica na composição 05 na extensão da bancada</v>
      </c>
      <c r="C29" s="319"/>
      <c r="D29" s="320" t="s">
        <v>370</v>
      </c>
      <c r="E29" s="321"/>
      <c r="F29" s="322"/>
      <c r="G29" s="323">
        <v>5.6</v>
      </c>
      <c r="H29" s="323">
        <v>2.5499999999999998</v>
      </c>
      <c r="I29" s="323">
        <f>IF(MID(N29,1,1)="r",1.6,IF(VLOOKUP(B29,'auxiliar memoria'!$H$122:$J$141,3,FALSE)="TETO",H29,VLOOKUP(B29,'auxiliar memoria'!$H$122:$J$141,3,FALSE)))</f>
        <v>2.5499999999999998</v>
      </c>
      <c r="J29" s="323">
        <f t="shared" si="0"/>
        <v>0</v>
      </c>
      <c r="K29" s="324"/>
      <c r="L29" s="324"/>
      <c r="M29" s="325"/>
      <c r="N29" s="326">
        <v>3</v>
      </c>
      <c r="O29" s="327">
        <v>5</v>
      </c>
      <c r="P29" s="328" t="s">
        <v>92</v>
      </c>
      <c r="Q29" s="327"/>
      <c r="R29" s="327"/>
      <c r="S29" s="327"/>
      <c r="T29" s="327"/>
      <c r="U29" s="327"/>
      <c r="V29" s="327"/>
      <c r="X29" s="330" t="str">
        <f t="shared" si="1"/>
        <v/>
      </c>
    </row>
    <row r="30" spans="1:24" s="248" customFormat="1" ht="28.5" customHeight="1">
      <c r="A30" s="266" t="str">
        <f>IF(MID(N30,1,1)="R","RECUPERAR",VLOOKUP(N30,'auxiliar memoria'!$D$40:$E$47,2,FALSE))</f>
        <v>CERÂMICA APARTIR DO PISO ATÉ 1,60M</v>
      </c>
      <c r="B30" s="267" t="str">
        <f>IF(MID(N30,1,1)="R",VLOOKUP(O30,'auxiliar memoria'!$D$40:$E$47,2,FALSE),VLOOKUP(O30,'auxiliar memoria'!$G$122:$H$140,2,FALSE))</f>
        <v>Pintura acrílica na cor branco neve</v>
      </c>
      <c r="C30" s="256"/>
      <c r="D30" s="268" t="s">
        <v>179</v>
      </c>
      <c r="E30" s="257"/>
      <c r="F30" s="258"/>
      <c r="G30" s="259">
        <v>17.7</v>
      </c>
      <c r="H30" s="259">
        <v>2.5499999999999998</v>
      </c>
      <c r="I30" s="259">
        <f>IF(MID(N30,1,1)="r",1.6,IF(VLOOKUP(B30,'auxiliar memoria'!$H$122:$J$141,3,FALSE)="TETO",H30,VLOOKUP(B30,'auxiliar memoria'!$H$122:$J$141,3,FALSE)))</f>
        <v>0</v>
      </c>
      <c r="J30" s="259">
        <f t="shared" si="0"/>
        <v>2.5499999999999998</v>
      </c>
      <c r="K30" s="260"/>
      <c r="L30" s="260"/>
      <c r="M30" s="261"/>
      <c r="N30" s="262">
        <v>2</v>
      </c>
      <c r="O30" s="263">
        <v>7</v>
      </c>
      <c r="P30" s="247" t="s">
        <v>92</v>
      </c>
      <c r="Q30" s="263"/>
      <c r="R30" s="263"/>
      <c r="S30" s="263"/>
      <c r="T30" s="263"/>
      <c r="U30" s="263"/>
      <c r="V30" s="263"/>
      <c r="X30" s="264" t="str">
        <f t="shared" si="1"/>
        <v/>
      </c>
    </row>
    <row r="31" spans="1:24" s="250" customFormat="1" ht="28.5" customHeight="1">
      <c r="A31" s="278" t="str">
        <f>IF(MID(N31,1,1)="R","RECUPERAR",VLOOKUP(N31,'auxiliar memoria'!$D$40:$E$47,2,FALSE))</f>
        <v>CERÂMICA APARTIR DO PISO ATÉ 1,60M</v>
      </c>
      <c r="B31" s="279" t="str">
        <f>IF(MID(N31,1,1)="R",VLOOKUP(O31,'auxiliar memoria'!$D$40:$E$47,2,FALSE),VLOOKUP(O31,'auxiliar memoria'!$G$122:$H$140,2,FALSE))</f>
        <v>Pastilha Cerâmica na composição 01 até 1,80m</v>
      </c>
      <c r="C31" s="272"/>
      <c r="D31" s="280" t="s">
        <v>362</v>
      </c>
      <c r="E31" s="282"/>
      <c r="F31" s="273"/>
      <c r="G31" s="274">
        <v>13.99</v>
      </c>
      <c r="H31" s="274">
        <v>2.5499999999999998</v>
      </c>
      <c r="I31" s="274">
        <f>IF(MID(N31,1,1)="r",1.6,IF(VLOOKUP(B31,'auxiliar memoria'!$H$122:$J$141,3,FALSE)="TETO",H31,VLOOKUP(B31,'auxiliar memoria'!$H$122:$J$141,3,FALSE)))</f>
        <v>1.8</v>
      </c>
      <c r="J31" s="274">
        <f t="shared" si="0"/>
        <v>0.74999999999999978</v>
      </c>
      <c r="K31" s="275"/>
      <c r="L31" s="275"/>
      <c r="M31" s="276"/>
      <c r="N31" s="277">
        <v>2</v>
      </c>
      <c r="O31" s="188">
        <v>1</v>
      </c>
      <c r="P31" s="249" t="s">
        <v>92</v>
      </c>
      <c r="Q31" s="188"/>
      <c r="R31" s="188"/>
      <c r="S31" s="188"/>
      <c r="T31" s="188"/>
      <c r="U31" s="188"/>
      <c r="V31" s="188"/>
      <c r="X31" s="186" t="str">
        <f t="shared" si="1"/>
        <v/>
      </c>
    </row>
    <row r="32" spans="1:24" s="329" customFormat="1" ht="28.5" customHeight="1">
      <c r="A32" s="317" t="str">
        <f>IF(MID(N32,1,1)="R","RECUPERAR",VLOOKUP(N32,'auxiliar memoria'!$D$40:$E$47,2,FALSE))</f>
        <v>CERÂMICA APARTIR DO PISO ATÉ 1,60M</v>
      </c>
      <c r="B32" s="318" t="str">
        <f>IF(MID(N32,1,1)="R",VLOOKUP(O32,'auxiliar memoria'!$D$40:$E$47,2,FALSE),VLOOKUP(O32,'auxiliar memoria'!$G$122:$H$140,2,FALSE))</f>
        <v>Cerâmica na composição 04 na extensão da bancada</v>
      </c>
      <c r="C32" s="319"/>
      <c r="D32" s="320" t="s">
        <v>363</v>
      </c>
      <c r="E32" s="331"/>
      <c r="F32" s="322"/>
      <c r="G32" s="323">
        <f>9.21-2.1</f>
        <v>7.1100000000000012</v>
      </c>
      <c r="H32" s="323">
        <v>2.5499999999999998</v>
      </c>
      <c r="I32" s="323">
        <f>IF(MID(N32,1,1)="r",1.6,IF(VLOOKUP(B32,'auxiliar memoria'!$H$122:$J$141,3,FALSE)="TETO",H32,VLOOKUP(B32,'auxiliar memoria'!$H$122:$J$141,3,FALSE)))</f>
        <v>2.5499999999999998</v>
      </c>
      <c r="J32" s="323">
        <f t="shared" si="0"/>
        <v>0</v>
      </c>
      <c r="K32" s="324"/>
      <c r="L32" s="324"/>
      <c r="M32" s="325"/>
      <c r="N32" s="326">
        <v>2</v>
      </c>
      <c r="O32" s="327">
        <v>4</v>
      </c>
      <c r="P32" s="328" t="s">
        <v>92</v>
      </c>
      <c r="Q32" s="327"/>
      <c r="R32" s="327"/>
      <c r="S32" s="327"/>
      <c r="T32" s="327"/>
      <c r="U32" s="327"/>
      <c r="V32" s="327"/>
      <c r="X32" s="330" t="str">
        <f t="shared" si="1"/>
        <v/>
      </c>
    </row>
    <row r="33" spans="1:24" s="329" customFormat="1" ht="28.5" customHeight="1">
      <c r="A33" s="317" t="str">
        <f>IF(MID(N33,1,1)="R","RECUPERAR",VLOOKUP(N33,'auxiliar memoria'!$D$40:$E$47,2,FALSE))</f>
        <v>CERÂMICA APARTIR DO PISO ATÉ 1,60M</v>
      </c>
      <c r="B33" s="318" t="str">
        <f>IF(MID(N33,1,1)="R",VLOOKUP(O33,'auxiliar memoria'!$D$40:$E$47,2,FALSE),VLOOKUP(O33,'auxiliar memoria'!$G$122:$H$140,2,FALSE))</f>
        <v>Cerâmica na composição 04 na extensão da bancada</v>
      </c>
      <c r="C33" s="319"/>
      <c r="D33" s="320" t="s">
        <v>371</v>
      </c>
      <c r="E33" s="331"/>
      <c r="F33" s="322"/>
      <c r="G33" s="323">
        <v>2.1</v>
      </c>
      <c r="H33" s="323">
        <v>2.5499999999999998</v>
      </c>
      <c r="I33" s="323">
        <f>IF(MID(N33,1,1)="r",1.6,IF(VLOOKUP(B33,'auxiliar memoria'!$H$122:$J$141,3,FALSE)="TETO",H33,VLOOKUP(B33,'auxiliar memoria'!$H$122:$J$141,3,FALSE)))</f>
        <v>2.5499999999999998</v>
      </c>
      <c r="J33" s="323">
        <f t="shared" si="0"/>
        <v>0</v>
      </c>
      <c r="K33" s="324"/>
      <c r="L33" s="324"/>
      <c r="M33" s="325"/>
      <c r="N33" s="326">
        <v>2</v>
      </c>
      <c r="O33" s="327">
        <v>4</v>
      </c>
      <c r="P33" s="328" t="s">
        <v>92</v>
      </c>
      <c r="Q33" s="327"/>
      <c r="R33" s="327"/>
      <c r="S33" s="327"/>
      <c r="T33" s="327"/>
      <c r="U33" s="327"/>
      <c r="V33" s="327"/>
      <c r="X33" s="330" t="str">
        <f t="shared" si="1"/>
        <v/>
      </c>
    </row>
    <row r="34" spans="1:24" s="292" customFormat="1" ht="28.5" customHeight="1">
      <c r="A34" s="315" t="str">
        <f>IF(MID(N34,1,1)="R","RECUPERAR",VLOOKUP(N34,'auxiliar memoria'!$D$40:$E$47,2,FALSE))</f>
        <v>CERÂMICA APARTIR DO PISO ATÉ 1,60M</v>
      </c>
      <c r="B34" s="295" t="str">
        <f>IF(MID(N34,1,1)="R",VLOOKUP(O34,'auxiliar memoria'!$D$40:$E$47,2,FALSE),VLOOKUP(O34,'auxiliar memoria'!$G$122:$H$140,2,FALSE))</f>
        <v>Porcelanato branco acetinado, dimensões de 45x45cm.</v>
      </c>
      <c r="C34" s="284"/>
      <c r="D34" s="294" t="s">
        <v>364</v>
      </c>
      <c r="E34" s="296"/>
      <c r="F34" s="286"/>
      <c r="G34" s="287">
        <f>9.95-2.46</f>
        <v>7.4899999999999993</v>
      </c>
      <c r="H34" s="287">
        <v>2.5499999999999998</v>
      </c>
      <c r="I34" s="287">
        <f>IF(MID(N34,1,1)="r",1.6,IF(VLOOKUP(B34,'auxiliar memoria'!$H$122:$J$141,3,FALSE)="TETO",H34,VLOOKUP(B34,'auxiliar memoria'!$H$122:$J$141,3,FALSE)))</f>
        <v>2.5499999999999998</v>
      </c>
      <c r="J34" s="287">
        <f t="shared" si="0"/>
        <v>0</v>
      </c>
      <c r="K34" s="288"/>
      <c r="L34" s="288"/>
      <c r="M34" s="289"/>
      <c r="N34" s="316">
        <v>2</v>
      </c>
      <c r="O34" s="290">
        <v>8</v>
      </c>
      <c r="P34" s="291" t="s">
        <v>92</v>
      </c>
      <c r="Q34" s="290"/>
      <c r="R34" s="290"/>
      <c r="S34" s="290"/>
      <c r="T34" s="290"/>
      <c r="U34" s="290"/>
      <c r="V34" s="290"/>
      <c r="X34" s="293" t="str">
        <f t="shared" ref="X34:X44" si="2">IF(C34="sinapi","ok",IF(C34="orse","ok",IF(P34="título","título",IF(P34="intertítulo","intertítulo",""))))</f>
        <v/>
      </c>
    </row>
    <row r="35" spans="1:24" s="329" customFormat="1" ht="28.5" customHeight="1">
      <c r="A35" s="317" t="str">
        <f>IF(MID(N35,1,1)="R","RECUPERAR",VLOOKUP(N35,'auxiliar memoria'!$D$40:$E$47,2,FALSE))</f>
        <v>CERÂMICA APARTIR DO PISO ATÉ 1,60M</v>
      </c>
      <c r="B35" s="318" t="str">
        <f>IF(MID(N35,1,1)="R",VLOOKUP(O35,'auxiliar memoria'!$D$40:$E$47,2,FALSE),VLOOKUP(O35,'auxiliar memoria'!$G$122:$H$140,2,FALSE))</f>
        <v>Cerâmica na composição 05 na extensão da bancada</v>
      </c>
      <c r="C35" s="319"/>
      <c r="D35" s="320" t="s">
        <v>372</v>
      </c>
      <c r="E35" s="331"/>
      <c r="F35" s="322"/>
      <c r="G35" s="323">
        <v>2.46</v>
      </c>
      <c r="H35" s="323">
        <v>2.5499999999999998</v>
      </c>
      <c r="I35" s="323">
        <f>IF(MID(N35,1,1)="r",1.6,IF(VLOOKUP(B35,'auxiliar memoria'!$H$122:$J$141,3,FALSE)="TETO",H35,VLOOKUP(B35,'auxiliar memoria'!$H$122:$J$141,3,FALSE)))</f>
        <v>2.5499999999999998</v>
      </c>
      <c r="J35" s="323">
        <f t="shared" si="0"/>
        <v>0</v>
      </c>
      <c r="K35" s="324"/>
      <c r="L35" s="324"/>
      <c r="M35" s="325"/>
      <c r="N35" s="326">
        <v>2</v>
      </c>
      <c r="O35" s="327">
        <v>5</v>
      </c>
      <c r="P35" s="328" t="s">
        <v>92</v>
      </c>
      <c r="Q35" s="327"/>
      <c r="R35" s="327"/>
      <c r="S35" s="327"/>
      <c r="T35" s="327"/>
      <c r="U35" s="327"/>
      <c r="V35" s="327"/>
      <c r="X35" s="330" t="str">
        <f t="shared" si="2"/>
        <v/>
      </c>
    </row>
    <row r="36" spans="1:24" s="248" customFormat="1" ht="28.5" customHeight="1">
      <c r="A36" s="266" t="str">
        <f>IF(MID(N36,1,1)="R","RECUPERAR",VLOOKUP(N36,'auxiliar memoria'!$D$40:$E$47,2,FALSE))</f>
        <v>PINTURA</v>
      </c>
      <c r="B36" s="267" t="str">
        <f>IF(MID(N36,1,1)="R",VLOOKUP(O36,'auxiliar memoria'!$D$40:$E$47,2,FALSE),VLOOKUP(O36,'auxiliar memoria'!$G$122:$H$140,2,FALSE))</f>
        <v>Pintura acrílica na cor branco neve</v>
      </c>
      <c r="C36" s="256"/>
      <c r="D36" s="297" t="s">
        <v>366</v>
      </c>
      <c r="E36" s="259"/>
      <c r="F36" s="258"/>
      <c r="G36" s="259"/>
      <c r="H36" s="270"/>
      <c r="I36" s="259"/>
      <c r="J36" s="259"/>
      <c r="K36" s="260"/>
      <c r="L36" s="260"/>
      <c r="M36" s="261"/>
      <c r="N36" s="262">
        <v>1</v>
      </c>
      <c r="O36" s="263">
        <v>7</v>
      </c>
      <c r="P36" s="247" t="s">
        <v>92</v>
      </c>
      <c r="Q36" s="263"/>
      <c r="R36" s="263"/>
      <c r="S36" s="263"/>
      <c r="T36" s="263"/>
      <c r="U36" s="263"/>
      <c r="V36" s="263"/>
      <c r="X36" s="264" t="str">
        <f t="shared" si="2"/>
        <v/>
      </c>
    </row>
    <row r="37" spans="1:24" s="248" customFormat="1" ht="28.5" customHeight="1">
      <c r="A37" s="266" t="str">
        <f>IF(MID(N37,1,1)="R","RECUPERAR",VLOOKUP(N37,'auxiliar memoria'!$D$40:$E$47,2,FALSE))</f>
        <v>PINTURA</v>
      </c>
      <c r="B37" s="267" t="str">
        <f>IF(MID(N37,1,1)="R",VLOOKUP(O37,'auxiliar memoria'!$D$40:$E$47,2,FALSE),VLOOKUP(O37,'auxiliar memoria'!$G$122:$H$140,2,FALSE))</f>
        <v>Pintura acrílica na cor branco neve</v>
      </c>
      <c r="C37" s="256"/>
      <c r="D37" s="268" t="s">
        <v>385</v>
      </c>
      <c r="E37" s="259"/>
      <c r="F37" s="258"/>
      <c r="G37" s="259">
        <v>6</v>
      </c>
      <c r="H37" s="270">
        <f>(2.79+4.07)/2</f>
        <v>3.43</v>
      </c>
      <c r="I37" s="259">
        <f>IF(MID(N37,1,1)="r",1.6,IF(VLOOKUP(B37,'auxiliar memoria'!$H$122:$J$141,3,FALSE)="TETO",H37,VLOOKUP(B37,'auxiliar memoria'!$H$122:$J$141,3,FALSE)))</f>
        <v>0</v>
      </c>
      <c r="J37" s="259">
        <f>H37-I37</f>
        <v>3.43</v>
      </c>
      <c r="K37" s="260"/>
      <c r="L37" s="260"/>
      <c r="M37" s="261"/>
      <c r="N37" s="262">
        <v>1</v>
      </c>
      <c r="O37" s="263">
        <v>7</v>
      </c>
      <c r="P37" s="247" t="s">
        <v>92</v>
      </c>
      <c r="Q37" s="263"/>
      <c r="R37" s="263"/>
      <c r="S37" s="263"/>
      <c r="T37" s="263"/>
      <c r="U37" s="263"/>
      <c r="V37" s="263"/>
      <c r="X37" s="264" t="str">
        <f t="shared" si="2"/>
        <v/>
      </c>
    </row>
    <row r="38" spans="1:24" s="248" customFormat="1" ht="28.5" customHeight="1">
      <c r="A38" s="266" t="str">
        <f>IF(MID(N38,1,1)="R","RECUPERAR",VLOOKUP(N38,'auxiliar memoria'!$D$40:$E$47,2,FALSE))</f>
        <v>PINTURA</v>
      </c>
      <c r="B38" s="267" t="str">
        <f>IF(MID(N38,1,1)="R",VLOOKUP(O38,'auxiliar memoria'!$D$40:$E$47,2,FALSE),VLOOKUP(O38,'auxiliar memoria'!$G$122:$H$140,2,FALSE))</f>
        <v>Pintura acrílica na cor branco neve</v>
      </c>
      <c r="C38" s="256"/>
      <c r="D38" s="268" t="s">
        <v>384</v>
      </c>
      <c r="E38" s="259"/>
      <c r="F38" s="258"/>
      <c r="G38" s="259">
        <v>10.16</v>
      </c>
      <c r="H38" s="270">
        <f>(2.79+4.07)/2</f>
        <v>3.43</v>
      </c>
      <c r="I38" s="259">
        <f>IF(MID(N38,1,1)="r",1.6,IF(VLOOKUP(B38,'auxiliar memoria'!$H$122:$J$141,3,FALSE)="TETO",H38,VLOOKUP(B38,'auxiliar memoria'!$H$122:$J$141,3,FALSE)))</f>
        <v>0</v>
      </c>
      <c r="J38" s="259">
        <f>H38-I38</f>
        <v>3.43</v>
      </c>
      <c r="K38" s="260"/>
      <c r="L38" s="260"/>
      <c r="M38" s="261"/>
      <c r="N38" s="262">
        <v>1</v>
      </c>
      <c r="O38" s="263">
        <v>7</v>
      </c>
      <c r="P38" s="247" t="s">
        <v>92</v>
      </c>
      <c r="Q38" s="263"/>
      <c r="R38" s="263"/>
      <c r="S38" s="263"/>
      <c r="T38" s="263"/>
      <c r="U38" s="263"/>
      <c r="V38" s="263"/>
      <c r="X38" s="264" t="str">
        <f t="shared" si="2"/>
        <v/>
      </c>
    </row>
    <row r="39" spans="1:24" s="248" customFormat="1" ht="28.5" customHeight="1">
      <c r="A39" s="266" t="str">
        <f>IF(MID(N39,1,1)="R","RECUPERAR",VLOOKUP(N39,'auxiliar memoria'!$D$40:$E$47,2,FALSE))</f>
        <v>PINTURA</v>
      </c>
      <c r="B39" s="267" t="str">
        <f>IF(MID(N39,1,1)="R",VLOOKUP(O39,'auxiliar memoria'!$D$40:$E$47,2,FALSE),VLOOKUP(O39,'auxiliar memoria'!$G$122:$H$140,2,FALSE))</f>
        <v>Pintura acrílica na cor branco neve</v>
      </c>
      <c r="C39" s="256"/>
      <c r="D39" s="268" t="s">
        <v>386</v>
      </c>
      <c r="E39" s="259"/>
      <c r="F39" s="258"/>
      <c r="G39" s="259">
        <v>4.82</v>
      </c>
      <c r="H39" s="270">
        <f>(4.05+4.81)/2</f>
        <v>4.43</v>
      </c>
      <c r="I39" s="259">
        <f>IF(MID(N39,1,1)="r",1.6,IF(VLOOKUP(B39,'auxiliar memoria'!$H$122:$J$141,3,FALSE)="TETO",H39,VLOOKUP(B39,'auxiliar memoria'!$H$122:$J$141,3,FALSE)))</f>
        <v>0</v>
      </c>
      <c r="J39" s="259">
        <f>H39-I39</f>
        <v>4.43</v>
      </c>
      <c r="K39" s="260"/>
      <c r="L39" s="260"/>
      <c r="M39" s="261"/>
      <c r="N39" s="262">
        <v>1</v>
      </c>
      <c r="O39" s="263">
        <v>7</v>
      </c>
      <c r="P39" s="247" t="s">
        <v>92</v>
      </c>
      <c r="Q39" s="263"/>
      <c r="R39" s="263"/>
      <c r="S39" s="263"/>
      <c r="T39" s="263"/>
      <c r="U39" s="263"/>
      <c r="V39" s="263"/>
      <c r="X39" s="264" t="str">
        <f t="shared" si="2"/>
        <v/>
      </c>
    </row>
    <row r="40" spans="1:24" s="248" customFormat="1" ht="28.5" customHeight="1">
      <c r="A40" s="266" t="str">
        <f>IF(MID(N40,1,1)="R","RECUPERAR",VLOOKUP(N40,'auxiliar memoria'!$D$40:$E$47,2,FALSE))</f>
        <v>PINTURA</v>
      </c>
      <c r="B40" s="267" t="str">
        <f>IF(MID(N40,1,1)="R",VLOOKUP(O40,'auxiliar memoria'!$D$40:$E$47,2,FALSE),VLOOKUP(O40,'auxiliar memoria'!$G$122:$H$140,2,FALSE))</f>
        <v>Pintura acrílica na cor branco neve</v>
      </c>
      <c r="C40" s="256"/>
      <c r="D40" s="268" t="s">
        <v>382</v>
      </c>
      <c r="E40" s="259"/>
      <c r="F40" s="258"/>
      <c r="G40" s="259">
        <v>4</v>
      </c>
      <c r="H40" s="270">
        <v>3.1</v>
      </c>
      <c r="I40" s="259">
        <f>IF(MID(N40,1,1)="r",1.6,IF(VLOOKUP(B40,'auxiliar memoria'!$H$122:$J$141,3,FALSE)="TETO",H40,VLOOKUP(B40,'auxiliar memoria'!$H$122:$J$141,3,FALSE)))</f>
        <v>0</v>
      </c>
      <c r="J40" s="259">
        <f>H40-I40</f>
        <v>3.1</v>
      </c>
      <c r="K40" s="260"/>
      <c r="L40" s="260"/>
      <c r="M40" s="261"/>
      <c r="N40" s="262">
        <v>1</v>
      </c>
      <c r="O40" s="263">
        <v>7</v>
      </c>
      <c r="P40" s="247" t="s">
        <v>92</v>
      </c>
      <c r="Q40" s="263"/>
      <c r="R40" s="263"/>
      <c r="S40" s="263"/>
      <c r="T40" s="263"/>
      <c r="U40" s="263"/>
      <c r="V40" s="263"/>
      <c r="X40" s="264" t="str">
        <f t="shared" si="2"/>
        <v/>
      </c>
    </row>
    <row r="41" spans="1:24" s="248" customFormat="1" ht="28.5" customHeight="1">
      <c r="A41" s="266" t="str">
        <f>IF(MID(N41,1,1)="R","RECUPERAR",VLOOKUP(N41,'auxiliar memoria'!$D$40:$E$47,2,FALSE))</f>
        <v>PINTURA</v>
      </c>
      <c r="B41" s="267" t="str">
        <f>IF(MID(N41,1,1)="R",VLOOKUP(O41,'auxiliar memoria'!$D$40:$E$47,2,FALSE),VLOOKUP(O41,'auxiliar memoria'!$G$122:$H$140,2,FALSE))</f>
        <v>Pintura acrílica na cor branco neve</v>
      </c>
      <c r="C41" s="256"/>
      <c r="D41" s="268" t="s">
        <v>383</v>
      </c>
      <c r="E41" s="259"/>
      <c r="F41" s="258"/>
      <c r="G41" s="259">
        <v>24.68</v>
      </c>
      <c r="H41" s="270">
        <v>3.07</v>
      </c>
      <c r="I41" s="259">
        <f>IF(MID(N41,1,1)="r",1.6,IF(VLOOKUP(B41,'auxiliar memoria'!$H$122:$J$141,3,FALSE)="TETO",H41,VLOOKUP(B41,'auxiliar memoria'!$H$122:$J$141,3,FALSE)))</f>
        <v>0</v>
      </c>
      <c r="J41" s="259">
        <f>H41-I41</f>
        <v>3.07</v>
      </c>
      <c r="K41" s="260"/>
      <c r="L41" s="260"/>
      <c r="M41" s="261"/>
      <c r="N41" s="262">
        <v>1</v>
      </c>
      <c r="O41" s="263">
        <v>7</v>
      </c>
      <c r="P41" s="247" t="s">
        <v>92</v>
      </c>
      <c r="Q41" s="263"/>
      <c r="R41" s="263"/>
      <c r="S41" s="263"/>
      <c r="T41" s="263"/>
      <c r="U41" s="263"/>
      <c r="V41" s="263"/>
      <c r="X41" s="264" t="str">
        <f t="shared" si="2"/>
        <v/>
      </c>
    </row>
    <row r="42" spans="1:24" s="248" customFormat="1" ht="28.5" customHeight="1">
      <c r="A42" s="266" t="str">
        <f>IF(MID(N42,1,1)="R","RECUPERAR",VLOOKUP(N42,'auxiliar memoria'!$D$40:$E$47,2,FALSE))</f>
        <v>PINTURA</v>
      </c>
      <c r="B42" s="267" t="str">
        <f>IF(MID(N42,1,1)="R",VLOOKUP(O42,'auxiliar memoria'!$D$40:$E$47,2,FALSE),VLOOKUP(O42,'auxiliar memoria'!$G$122:$H$140,2,FALSE))</f>
        <v>Pintura acrílica na cor branco neve</v>
      </c>
      <c r="C42" s="256"/>
      <c r="D42" s="297" t="s">
        <v>367</v>
      </c>
      <c r="E42" s="259"/>
      <c r="F42" s="258"/>
      <c r="G42" s="259"/>
      <c r="H42" s="270"/>
      <c r="I42" s="259"/>
      <c r="J42" s="259"/>
      <c r="K42" s="260"/>
      <c r="L42" s="260"/>
      <c r="M42" s="261"/>
      <c r="N42" s="262">
        <v>1</v>
      </c>
      <c r="O42" s="263">
        <v>7</v>
      </c>
      <c r="P42" s="247" t="s">
        <v>92</v>
      </c>
      <c r="Q42" s="263"/>
      <c r="R42" s="263"/>
      <c r="S42" s="263"/>
      <c r="T42" s="263"/>
      <c r="U42" s="263"/>
      <c r="V42" s="263"/>
      <c r="X42" s="264" t="str">
        <f t="shared" si="2"/>
        <v/>
      </c>
    </row>
    <row r="43" spans="1:24" s="248" customFormat="1" ht="28.5" customHeight="1">
      <c r="A43" s="266" t="str">
        <f>IF(MID(N43,1,1)="R","RECUPERAR",VLOOKUP(N43,'auxiliar memoria'!$D$40:$E$47,2,FALSE))</f>
        <v>PINTURA</v>
      </c>
      <c r="B43" s="267" t="str">
        <f>IF(MID(N43,1,1)="R",VLOOKUP(O43,'auxiliar memoria'!$D$40:$E$47,2,FALSE),VLOOKUP(O43,'auxiliar memoria'!$G$122:$H$140,2,FALSE))</f>
        <v>Pintura acrílica na cor branco neve</v>
      </c>
      <c r="C43" s="256"/>
      <c r="D43" s="268" t="s">
        <v>387</v>
      </c>
      <c r="E43" s="259"/>
      <c r="F43" s="258"/>
      <c r="G43" s="259">
        <v>47.94</v>
      </c>
      <c r="H43" s="270">
        <v>2.79</v>
      </c>
      <c r="I43" s="259">
        <f>IF(MID(N43,1,1)="r",1.6,IF(VLOOKUP(B43,'auxiliar memoria'!$H$122:$J$141,3,FALSE)="TETO",H43,VLOOKUP(B43,'auxiliar memoria'!$H$122:$J$141,3,FALSE)))</f>
        <v>0</v>
      </c>
      <c r="J43" s="259">
        <f>H43-I43</f>
        <v>2.79</v>
      </c>
      <c r="K43" s="260"/>
      <c r="L43" s="260"/>
      <c r="M43" s="261"/>
      <c r="N43" s="262">
        <v>1</v>
      </c>
      <c r="O43" s="263">
        <v>7</v>
      </c>
      <c r="P43" s="247" t="s">
        <v>92</v>
      </c>
      <c r="Q43" s="263"/>
      <c r="R43" s="263"/>
      <c r="S43" s="263"/>
      <c r="T43" s="263"/>
      <c r="U43" s="263"/>
      <c r="V43" s="263"/>
      <c r="X43" s="264" t="str">
        <f t="shared" si="2"/>
        <v/>
      </c>
    </row>
    <row r="44" spans="1:24" s="248" customFormat="1" ht="28.5" customHeight="1">
      <c r="A44" s="266" t="str">
        <f>IF(MID(N44,1,1)="R","RECUPERAR",VLOOKUP(N44,'auxiliar memoria'!$D$40:$E$47,2,FALSE))</f>
        <v>PINTURA</v>
      </c>
      <c r="B44" s="267" t="str">
        <f>IF(MID(N44,1,1)="R",VLOOKUP(O44,'auxiliar memoria'!$D$40:$E$47,2,FALSE),VLOOKUP(O44,'auxiliar memoria'!$G$122:$H$140,2,FALSE))</f>
        <v>Pintura acrílica na cor branco neve</v>
      </c>
      <c r="C44" s="256"/>
      <c r="D44" s="268" t="s">
        <v>383</v>
      </c>
      <c r="E44" s="259"/>
      <c r="F44" s="258"/>
      <c r="G44" s="259">
        <f>51.99+3.49</f>
        <v>55.480000000000004</v>
      </c>
      <c r="H44" s="270">
        <v>2.5499999999999998</v>
      </c>
      <c r="I44" s="259">
        <f>IF(MID(N44,1,1)="r",1.6,IF(VLOOKUP(B44,'auxiliar memoria'!$H$122:$J$141,3,FALSE)="TETO",H44,VLOOKUP(B44,'auxiliar memoria'!$H$122:$J$141,3,FALSE)))</f>
        <v>0</v>
      </c>
      <c r="J44" s="259">
        <f>H44-I44</f>
        <v>2.5499999999999998</v>
      </c>
      <c r="K44" s="260"/>
      <c r="L44" s="260"/>
      <c r="M44" s="261"/>
      <c r="N44" s="262">
        <v>1</v>
      </c>
      <c r="O44" s="263">
        <v>7</v>
      </c>
      <c r="P44" s="247" t="s">
        <v>92</v>
      </c>
      <c r="Q44" s="263"/>
      <c r="R44" s="263"/>
      <c r="S44" s="263"/>
      <c r="T44" s="263"/>
      <c r="U44" s="263"/>
      <c r="V44" s="263"/>
      <c r="X44" s="264" t="str">
        <f t="shared" si="2"/>
        <v/>
      </c>
    </row>
    <row r="47" spans="1:24" ht="31.5">
      <c r="D47" s="314" t="s">
        <v>96</v>
      </c>
      <c r="E47" s="314" t="s">
        <v>97</v>
      </c>
      <c r="F47" s="314" t="s">
        <v>98</v>
      </c>
      <c r="G47" s="314" t="s">
        <v>99</v>
      </c>
      <c r="H47" s="314" t="s">
        <v>100</v>
      </c>
      <c r="I47" s="314" t="s">
        <v>101</v>
      </c>
      <c r="J47" s="314" t="s">
        <v>102</v>
      </c>
      <c r="K47" s="314" t="s">
        <v>103</v>
      </c>
      <c r="L47" s="314" t="s">
        <v>104</v>
      </c>
      <c r="M47" s="314" t="s">
        <v>105</v>
      </c>
    </row>
    <row r="48" spans="1:24" ht="26.25">
      <c r="A48" s="313" t="s">
        <v>388</v>
      </c>
      <c r="J48" s="283">
        <f>SUM(J49:J73)</f>
        <v>227.0112</v>
      </c>
    </row>
    <row r="49" spans="1:24" s="248" customFormat="1" ht="28.5" customHeight="1">
      <c r="A49" s="266" t="str">
        <f>IF(MID(N49,1,1)="R","RECUPERAR",VLOOKUP(N49,'auxiliar memoria'!$D$40:$E$47,2,FALSE))</f>
        <v>RECUPERAR</v>
      </c>
      <c r="B49" s="267" t="str">
        <f>IF(MID(N49,1,1)="R",VLOOKUP(O49,'auxiliar memoria'!$D$40:$E$47,2,FALSE),VLOOKUP(O49,'auxiliar memoria'!$G$122:$H$140,2,FALSE))</f>
        <v>CERÂMICA APARTIR DO PISO ATÉ 1,60M</v>
      </c>
      <c r="C49" s="256"/>
      <c r="D49" s="268" t="s">
        <v>392</v>
      </c>
      <c r="E49" s="257"/>
      <c r="F49" s="258"/>
      <c r="G49" s="259">
        <f>31.37-2.15</f>
        <v>29.220000000000002</v>
      </c>
      <c r="H49" s="259"/>
      <c r="I49" s="259">
        <v>1.6</v>
      </c>
      <c r="J49" s="259">
        <f>I49*G49*20%</f>
        <v>9.3504000000000023</v>
      </c>
      <c r="K49" s="260"/>
      <c r="L49" s="260"/>
      <c r="M49" s="261"/>
      <c r="N49" s="262" t="s">
        <v>368</v>
      </c>
      <c r="O49" s="263">
        <v>2</v>
      </c>
      <c r="P49" s="247"/>
      <c r="Q49" s="263" t="s">
        <v>317</v>
      </c>
      <c r="R49" s="263"/>
      <c r="S49" s="263"/>
      <c r="T49" s="263"/>
      <c r="U49" s="263"/>
      <c r="V49" s="263"/>
      <c r="X49" s="264"/>
    </row>
    <row r="50" spans="1:24" s="248" customFormat="1" ht="28.5" customHeight="1">
      <c r="A50" s="266" t="str">
        <f>IF(MID(N50,1,1)="R","RECUPERAR",VLOOKUP(N50,'auxiliar memoria'!$D$40:$E$47,2,FALSE))</f>
        <v>RECUPERAR</v>
      </c>
      <c r="B50" s="267" t="str">
        <f>IF(MID(N50,1,1)="R",VLOOKUP(O50,'auxiliar memoria'!$D$40:$E$47,2,FALSE),VLOOKUP(O50,'auxiliar memoria'!$G$122:$H$140,2,FALSE))</f>
        <v>CERÂMICA APARTIR DO PISO ATÉ 1,60M</v>
      </c>
      <c r="C50" s="256"/>
      <c r="D50" s="268" t="s">
        <v>391</v>
      </c>
      <c r="E50" s="257"/>
      <c r="F50" s="258"/>
      <c r="G50" s="259">
        <f>1.25+0.9</f>
        <v>2.15</v>
      </c>
      <c r="H50" s="259"/>
      <c r="I50" s="259">
        <v>1.6</v>
      </c>
      <c r="J50" s="259">
        <f>I50*G50</f>
        <v>3.44</v>
      </c>
      <c r="K50" s="260"/>
      <c r="L50" s="260"/>
      <c r="M50" s="261"/>
      <c r="N50" s="262" t="s">
        <v>368</v>
      </c>
      <c r="O50" s="263">
        <v>2</v>
      </c>
      <c r="P50" s="247"/>
      <c r="Q50" s="263" t="s">
        <v>317</v>
      </c>
      <c r="R50" s="263"/>
      <c r="S50" s="263"/>
      <c r="T50" s="263"/>
      <c r="U50" s="263"/>
      <c r="V50" s="263"/>
      <c r="X50" s="264"/>
    </row>
    <row r="51" spans="1:24" s="248" customFormat="1" ht="28.5" customHeight="1">
      <c r="A51" s="266" t="str">
        <f>IF(MID(N51,1,1)="R","RECUPERAR",VLOOKUP(N51,'auxiliar memoria'!$D$40:$E$47,2,FALSE))</f>
        <v>RECUPERAR</v>
      </c>
      <c r="B51" s="267" t="str">
        <f>IF(MID(N51,1,1)="R",VLOOKUP(O51,'auxiliar memoria'!$D$40:$E$47,2,FALSE),VLOOKUP(O51,'auxiliar memoria'!$G$122:$H$140,2,FALSE))</f>
        <v>CERÂMICA APARTIR DO PISO ATÉ 1,60M</v>
      </c>
      <c r="C51" s="256"/>
      <c r="D51" s="268" t="s">
        <v>394</v>
      </c>
      <c r="E51" s="257"/>
      <c r="F51" s="258"/>
      <c r="G51" s="259">
        <f>31.3-2.15</f>
        <v>29.150000000000002</v>
      </c>
      <c r="H51" s="259"/>
      <c r="I51" s="259">
        <v>1.6</v>
      </c>
      <c r="J51" s="259">
        <f t="shared" ref="J51:J71" si="3">I51*G51*20%</f>
        <v>9.3280000000000012</v>
      </c>
      <c r="K51" s="260"/>
      <c r="L51" s="260"/>
      <c r="M51" s="261"/>
      <c r="N51" s="262" t="s">
        <v>368</v>
      </c>
      <c r="O51" s="263">
        <v>2</v>
      </c>
      <c r="P51" s="265"/>
      <c r="Q51" s="263"/>
      <c r="R51" s="263"/>
      <c r="S51" s="263"/>
      <c r="T51" s="263"/>
      <c r="U51" s="263"/>
      <c r="V51" s="263"/>
      <c r="X51" s="264"/>
    </row>
    <row r="52" spans="1:24" s="248" customFormat="1" ht="28.5" customHeight="1">
      <c r="A52" s="266" t="str">
        <f>IF(MID(N52,1,1)="R","RECUPERAR",VLOOKUP(N52,'auxiliar memoria'!$D$40:$E$47,2,FALSE))</f>
        <v>RECUPERAR</v>
      </c>
      <c r="B52" s="267" t="str">
        <f>IF(MID(N52,1,1)="R",VLOOKUP(O52,'auxiliar memoria'!$D$40:$E$47,2,FALSE),VLOOKUP(O52,'auxiliar memoria'!$G$122:$H$140,2,FALSE))</f>
        <v>CERÂMICA APARTIR DO PISO ATÉ 1,60M</v>
      </c>
      <c r="C52" s="256"/>
      <c r="D52" s="268" t="s">
        <v>393</v>
      </c>
      <c r="E52" s="257"/>
      <c r="F52" s="258"/>
      <c r="G52" s="259">
        <f>1.25+0.9</f>
        <v>2.15</v>
      </c>
      <c r="H52" s="259"/>
      <c r="I52" s="259">
        <v>1.6</v>
      </c>
      <c r="J52" s="259">
        <f>I52*G52</f>
        <v>3.44</v>
      </c>
      <c r="K52" s="260"/>
      <c r="L52" s="260"/>
      <c r="M52" s="261"/>
      <c r="N52" s="262" t="s">
        <v>368</v>
      </c>
      <c r="O52" s="263">
        <v>2</v>
      </c>
      <c r="P52" s="265"/>
      <c r="Q52" s="263"/>
      <c r="R52" s="263"/>
      <c r="S52" s="263"/>
      <c r="T52" s="263"/>
      <c r="U52" s="263"/>
      <c r="V52" s="263"/>
      <c r="X52" s="264"/>
    </row>
    <row r="53" spans="1:24" s="248" customFormat="1" ht="28.5" customHeight="1">
      <c r="A53" s="266" t="str">
        <f>IF(MID(N53,1,1)="R","RECUPERAR",VLOOKUP(N53,'auxiliar memoria'!$D$40:$E$47,2,FALSE))</f>
        <v>RECUPERAR</v>
      </c>
      <c r="B53" s="267" t="str">
        <f>IF(MID(N53,1,1)="R",VLOOKUP(O53,'auxiliar memoria'!$D$40:$E$47,2,FALSE),VLOOKUP(O53,'auxiliar memoria'!$G$122:$H$140,2,FALSE))</f>
        <v>CERÂMICA APARTIR DO PISO ATÉ 1,60M</v>
      </c>
      <c r="C53" s="256"/>
      <c r="D53" s="268" t="s">
        <v>396</v>
      </c>
      <c r="E53" s="257"/>
      <c r="F53" s="258"/>
      <c r="G53" s="259">
        <f>31.46-2.15</f>
        <v>29.310000000000002</v>
      </c>
      <c r="H53" s="259"/>
      <c r="I53" s="259">
        <v>1.6</v>
      </c>
      <c r="J53" s="259">
        <f t="shared" si="3"/>
        <v>9.3792000000000026</v>
      </c>
      <c r="K53" s="260"/>
      <c r="L53" s="260"/>
      <c r="M53" s="261"/>
      <c r="N53" s="262" t="s">
        <v>368</v>
      </c>
      <c r="O53" s="263">
        <v>2</v>
      </c>
      <c r="P53" s="247" t="s">
        <v>92</v>
      </c>
      <c r="Q53" s="263"/>
      <c r="R53" s="263"/>
      <c r="S53" s="263"/>
      <c r="T53" s="263"/>
      <c r="U53" s="263"/>
      <c r="V53" s="263"/>
      <c r="X53" s="264" t="str">
        <f t="shared" ref="X53:X60" si="4">IF(C53="sinapi","ok",IF(C53="orse","ok",IF(P53="título","título",IF(P53="intertítulo","intertítulo",""))))</f>
        <v/>
      </c>
    </row>
    <row r="54" spans="1:24" s="248" customFormat="1" ht="28.5" customHeight="1">
      <c r="A54" s="266" t="str">
        <f>IF(MID(N54,1,1)="R","RECUPERAR",VLOOKUP(N54,'auxiliar memoria'!$D$40:$E$47,2,FALSE))</f>
        <v>RECUPERAR</v>
      </c>
      <c r="B54" s="267" t="str">
        <f>IF(MID(N54,1,1)="R",VLOOKUP(O54,'auxiliar memoria'!$D$40:$E$47,2,FALSE),VLOOKUP(O54,'auxiliar memoria'!$G$122:$H$140,2,FALSE))</f>
        <v>CERÂMICA APARTIR DO PISO ATÉ 1,60M</v>
      </c>
      <c r="C54" s="256"/>
      <c r="D54" s="268" t="s">
        <v>395</v>
      </c>
      <c r="E54" s="257"/>
      <c r="F54" s="258"/>
      <c r="G54" s="259">
        <f>1.25+0.9</f>
        <v>2.15</v>
      </c>
      <c r="H54" s="259"/>
      <c r="I54" s="259">
        <v>1.6</v>
      </c>
      <c r="J54" s="259">
        <f>I54*G54</f>
        <v>3.44</v>
      </c>
      <c r="K54" s="260"/>
      <c r="L54" s="260"/>
      <c r="M54" s="261"/>
      <c r="N54" s="262" t="s">
        <v>368</v>
      </c>
      <c r="O54" s="263">
        <v>2</v>
      </c>
      <c r="P54" s="247" t="s">
        <v>92</v>
      </c>
      <c r="Q54" s="263"/>
      <c r="R54" s="263"/>
      <c r="S54" s="263"/>
      <c r="T54" s="263"/>
      <c r="U54" s="263"/>
      <c r="V54" s="263"/>
      <c r="X54" s="264" t="str">
        <f t="shared" si="4"/>
        <v/>
      </c>
    </row>
    <row r="55" spans="1:24" s="248" customFormat="1" ht="23.25">
      <c r="A55" s="266" t="str">
        <f>IF(MID(N55,1,1)="R","RECUPERAR",VLOOKUP(N55,'auxiliar memoria'!$D$40:$E$47,2,FALSE))</f>
        <v>RECUPERAR</v>
      </c>
      <c r="B55" s="267" t="str">
        <f>IF(MID(N55,1,1)="R",VLOOKUP(O55,'auxiliar memoria'!$D$40:$E$47,2,FALSE),VLOOKUP(O55,'auxiliar memoria'!$G$122:$H$140,2,FALSE))</f>
        <v>CERÂMICA APARTIR DO PISO ATÉ 1,60M</v>
      </c>
      <c r="C55" s="256"/>
      <c r="D55" s="268" t="s">
        <v>397</v>
      </c>
      <c r="E55" s="257"/>
      <c r="F55" s="258"/>
      <c r="G55" s="259">
        <f>31.38-2.15</f>
        <v>29.23</v>
      </c>
      <c r="H55" s="259"/>
      <c r="I55" s="259">
        <v>1.6</v>
      </c>
      <c r="J55" s="259">
        <f t="shared" si="3"/>
        <v>9.3536000000000001</v>
      </c>
      <c r="K55" s="260"/>
      <c r="L55" s="260"/>
      <c r="M55" s="261"/>
      <c r="N55" s="262" t="s">
        <v>368</v>
      </c>
      <c r="O55" s="263">
        <v>2</v>
      </c>
      <c r="P55" s="247" t="s">
        <v>92</v>
      </c>
      <c r="Q55" s="263"/>
      <c r="R55" s="263"/>
      <c r="S55" s="263"/>
      <c r="T55" s="263"/>
      <c r="U55" s="263"/>
      <c r="V55" s="263"/>
      <c r="X55" s="264" t="str">
        <f t="shared" si="4"/>
        <v/>
      </c>
    </row>
    <row r="56" spans="1:24" s="248" customFormat="1" ht="23.25">
      <c r="A56" s="266" t="str">
        <f>IF(MID(N56,1,1)="R","RECUPERAR",VLOOKUP(N56,'auxiliar memoria'!$D$40:$E$47,2,FALSE))</f>
        <v>RECUPERAR</v>
      </c>
      <c r="B56" s="267" t="str">
        <f>IF(MID(N56,1,1)="R",VLOOKUP(O56,'auxiliar memoria'!$D$40:$E$47,2,FALSE),VLOOKUP(O56,'auxiliar memoria'!$G$122:$H$140,2,FALSE))</f>
        <v>CERÂMICA APARTIR DO PISO ATÉ 1,60M</v>
      </c>
      <c r="C56" s="256"/>
      <c r="D56" s="268" t="s">
        <v>398</v>
      </c>
      <c r="E56" s="257"/>
      <c r="F56" s="258"/>
      <c r="G56" s="259">
        <f>1.25+0.9</f>
        <v>2.15</v>
      </c>
      <c r="H56" s="259"/>
      <c r="I56" s="259">
        <v>1.6</v>
      </c>
      <c r="J56" s="259">
        <f>I56*G56</f>
        <v>3.44</v>
      </c>
      <c r="K56" s="260"/>
      <c r="L56" s="260"/>
      <c r="M56" s="261"/>
      <c r="N56" s="262" t="s">
        <v>368</v>
      </c>
      <c r="O56" s="263">
        <v>2</v>
      </c>
      <c r="P56" s="247" t="s">
        <v>92</v>
      </c>
      <c r="Q56" s="263"/>
      <c r="R56" s="263"/>
      <c r="S56" s="263"/>
      <c r="T56" s="263"/>
      <c r="U56" s="263"/>
      <c r="V56" s="263"/>
      <c r="X56" s="264" t="str">
        <f t="shared" si="4"/>
        <v/>
      </c>
    </row>
    <row r="57" spans="1:24" s="248" customFormat="1" ht="28.5" customHeight="1">
      <c r="A57" s="266" t="str">
        <f>IF(MID(N57,1,1)="R","RECUPERAR",VLOOKUP(N57,'auxiliar memoria'!$D$40:$E$47,2,FALSE))</f>
        <v>RECUPERAR</v>
      </c>
      <c r="B57" s="267" t="str">
        <f>IF(MID(N57,1,1)="R",VLOOKUP(O57,'auxiliar memoria'!$D$40:$E$47,2,FALSE),VLOOKUP(O57,'auxiliar memoria'!$G$122:$H$140,2,FALSE))</f>
        <v>CERÂMICA APARTIR DO PISO ATÉ 1,60M</v>
      </c>
      <c r="C57" s="256"/>
      <c r="D57" s="268" t="s">
        <v>399</v>
      </c>
      <c r="E57" s="257"/>
      <c r="F57" s="258"/>
      <c r="G57" s="259">
        <f>31.42-2.15</f>
        <v>29.270000000000003</v>
      </c>
      <c r="H57" s="259"/>
      <c r="I57" s="259">
        <v>1.6</v>
      </c>
      <c r="J57" s="259">
        <f t="shared" si="3"/>
        <v>9.3664000000000023</v>
      </c>
      <c r="K57" s="260"/>
      <c r="L57" s="260"/>
      <c r="M57" s="261"/>
      <c r="N57" s="262" t="s">
        <v>368</v>
      </c>
      <c r="O57" s="263">
        <v>2</v>
      </c>
      <c r="P57" s="247" t="s">
        <v>92</v>
      </c>
      <c r="Q57" s="263"/>
      <c r="R57" s="263"/>
      <c r="S57" s="263"/>
      <c r="T57" s="263"/>
      <c r="U57" s="263"/>
      <c r="V57" s="263"/>
      <c r="X57" s="264" t="str">
        <f t="shared" si="4"/>
        <v/>
      </c>
    </row>
    <row r="58" spans="1:24" s="248" customFormat="1" ht="28.5" customHeight="1">
      <c r="A58" s="266" t="str">
        <f>IF(MID(N58,1,1)="R","RECUPERAR",VLOOKUP(N58,'auxiliar memoria'!$D$40:$E$47,2,FALSE))</f>
        <v>RECUPERAR</v>
      </c>
      <c r="B58" s="267" t="str">
        <f>IF(MID(N58,1,1)="R",VLOOKUP(O58,'auxiliar memoria'!$D$40:$E$47,2,FALSE),VLOOKUP(O58,'auxiliar memoria'!$G$122:$H$140,2,FALSE))</f>
        <v>CERÂMICA APARTIR DO PISO ATÉ 1,60M</v>
      </c>
      <c r="C58" s="256"/>
      <c r="D58" s="268" t="s">
        <v>400</v>
      </c>
      <c r="E58" s="257"/>
      <c r="F58" s="258"/>
      <c r="G58" s="259">
        <f>1.25+0.9</f>
        <v>2.15</v>
      </c>
      <c r="H58" s="259"/>
      <c r="I58" s="259">
        <v>1.6</v>
      </c>
      <c r="J58" s="259">
        <f>I58*G58</f>
        <v>3.44</v>
      </c>
      <c r="K58" s="260"/>
      <c r="L58" s="260"/>
      <c r="M58" s="261"/>
      <c r="N58" s="262" t="s">
        <v>368</v>
      </c>
      <c r="O58" s="263">
        <v>2</v>
      </c>
      <c r="P58" s="247" t="s">
        <v>92</v>
      </c>
      <c r="Q58" s="263"/>
      <c r="R58" s="263"/>
      <c r="S58" s="263"/>
      <c r="T58" s="263"/>
      <c r="U58" s="263"/>
      <c r="V58" s="263"/>
      <c r="X58" s="264" t="str">
        <f t="shared" si="4"/>
        <v/>
      </c>
    </row>
    <row r="59" spans="1:24" s="248" customFormat="1" ht="23.25">
      <c r="A59" s="266" t="str">
        <f>IF(MID(N59,1,1)="R","RECUPERAR",VLOOKUP(N59,'auxiliar memoria'!$D$40:$E$47,2,FALSE))</f>
        <v>RECUPERAR</v>
      </c>
      <c r="B59" s="267" t="str">
        <f>IF(MID(N59,1,1)="R",VLOOKUP(O59,'auxiliar memoria'!$D$40:$E$47,2,FALSE),VLOOKUP(O59,'auxiliar memoria'!$G$122:$H$140,2,FALSE))</f>
        <v>CERÂMICA APARTIR DO PISO ATÉ 1,60M</v>
      </c>
      <c r="C59" s="256"/>
      <c r="D59" s="268" t="s">
        <v>401</v>
      </c>
      <c r="E59" s="257"/>
      <c r="F59" s="258"/>
      <c r="G59" s="259">
        <f>31.36-2.15</f>
        <v>29.21</v>
      </c>
      <c r="H59" s="259"/>
      <c r="I59" s="259">
        <v>1.6</v>
      </c>
      <c r="J59" s="259">
        <f t="shared" si="3"/>
        <v>9.3472000000000008</v>
      </c>
      <c r="K59" s="260"/>
      <c r="L59" s="260"/>
      <c r="M59" s="261"/>
      <c r="N59" s="262" t="s">
        <v>368</v>
      </c>
      <c r="O59" s="263">
        <v>2</v>
      </c>
      <c r="P59" s="247" t="s">
        <v>92</v>
      </c>
      <c r="Q59" s="263"/>
      <c r="R59" s="263"/>
      <c r="S59" s="263"/>
      <c r="T59" s="263"/>
      <c r="U59" s="263"/>
      <c r="V59" s="263"/>
      <c r="X59" s="264" t="str">
        <f t="shared" si="4"/>
        <v/>
      </c>
    </row>
    <row r="60" spans="1:24" s="248" customFormat="1" ht="23.25">
      <c r="A60" s="266" t="str">
        <f>IF(MID(N60,1,1)="R","RECUPERAR",VLOOKUP(N60,'auxiliar memoria'!$D$40:$E$47,2,FALSE))</f>
        <v>RECUPERAR</v>
      </c>
      <c r="B60" s="267" t="str">
        <f>IF(MID(N60,1,1)="R",VLOOKUP(O60,'auxiliar memoria'!$D$40:$E$47,2,FALSE),VLOOKUP(O60,'auxiliar memoria'!$G$122:$H$140,2,FALSE))</f>
        <v>CERÂMICA APARTIR DO PISO ATÉ 1,60M</v>
      </c>
      <c r="C60" s="256"/>
      <c r="D60" s="268" t="s">
        <v>402</v>
      </c>
      <c r="E60" s="257"/>
      <c r="F60" s="258"/>
      <c r="G60" s="259">
        <f>1.25+0.9</f>
        <v>2.15</v>
      </c>
      <c r="H60" s="259"/>
      <c r="I60" s="259">
        <v>1.6</v>
      </c>
      <c r="J60" s="259">
        <f>I60*G60</f>
        <v>3.44</v>
      </c>
      <c r="K60" s="260"/>
      <c r="L60" s="260"/>
      <c r="M60" s="261"/>
      <c r="N60" s="262" t="s">
        <v>368</v>
      </c>
      <c r="O60" s="263">
        <v>2</v>
      </c>
      <c r="P60" s="247" t="s">
        <v>92</v>
      </c>
      <c r="Q60" s="263"/>
      <c r="R60" s="263"/>
      <c r="S60" s="263"/>
      <c r="T60" s="263"/>
      <c r="U60" s="263"/>
      <c r="V60" s="263"/>
      <c r="X60" s="264" t="str">
        <f t="shared" si="4"/>
        <v/>
      </c>
    </row>
    <row r="61" spans="1:24" s="248" customFormat="1" ht="28.5" customHeight="1">
      <c r="A61" s="266" t="str">
        <f>IF(MID(N61,1,1)="R","RECUPERAR",VLOOKUP(N61,'auxiliar memoria'!$D$40:$E$47,2,FALSE))</f>
        <v>RECUPERAR</v>
      </c>
      <c r="B61" s="267" t="str">
        <f>IF(MID(N61,1,1)="R",VLOOKUP(O61,'auxiliar memoria'!$D$40:$E$47,2,FALSE),VLOOKUP(O61,'auxiliar memoria'!$G$122:$H$140,2,FALSE))</f>
        <v>CERÂMICA APARTIR DO PISO ATÉ 1,60M</v>
      </c>
      <c r="C61" s="256"/>
      <c r="D61" s="268" t="s">
        <v>403</v>
      </c>
      <c r="E61" s="269"/>
      <c r="F61" s="258"/>
      <c r="G61" s="259">
        <f>31.36-2.13</f>
        <v>29.23</v>
      </c>
      <c r="H61" s="259"/>
      <c r="I61" s="259">
        <v>1.6</v>
      </c>
      <c r="J61" s="259">
        <f t="shared" si="3"/>
        <v>9.3536000000000001</v>
      </c>
      <c r="K61" s="260"/>
      <c r="L61" s="260"/>
      <c r="M61" s="261"/>
      <c r="N61" s="262" t="s">
        <v>368</v>
      </c>
      <c r="O61" s="263">
        <v>2</v>
      </c>
      <c r="P61" s="247" t="s">
        <v>92</v>
      </c>
      <c r="Q61" s="263"/>
      <c r="R61" s="263"/>
      <c r="S61" s="263"/>
      <c r="T61" s="263"/>
      <c r="U61" s="263"/>
      <c r="V61" s="263"/>
      <c r="X61" s="264" t="str">
        <f t="shared" ref="X61:X71" si="5">IF(C61="sinapi","ok",IF(C61="orse","ok",IF(P61="título","título",IF(P61="intertítulo","intertítulo",""))))</f>
        <v/>
      </c>
    </row>
    <row r="62" spans="1:24" s="248" customFormat="1" ht="28.5" customHeight="1">
      <c r="A62" s="266" t="str">
        <f>IF(MID(N62,1,1)="R","RECUPERAR",VLOOKUP(N62,'auxiliar memoria'!$D$40:$E$47,2,FALSE))</f>
        <v>RECUPERAR</v>
      </c>
      <c r="B62" s="267" t="str">
        <f>IF(MID(N62,1,1)="R",VLOOKUP(O62,'auxiliar memoria'!$D$40:$E$47,2,FALSE),VLOOKUP(O62,'auxiliar memoria'!$G$122:$H$140,2,FALSE))</f>
        <v>CERÂMICA APARTIR DO PISO ATÉ 1,60M</v>
      </c>
      <c r="C62" s="256"/>
      <c r="D62" s="268" t="s">
        <v>404</v>
      </c>
      <c r="E62" s="269"/>
      <c r="F62" s="258"/>
      <c r="G62" s="259">
        <f>1.25+0.88</f>
        <v>2.13</v>
      </c>
      <c r="H62" s="259"/>
      <c r="I62" s="259">
        <v>1.6</v>
      </c>
      <c r="J62" s="259">
        <f>I62*G62</f>
        <v>3.4079999999999999</v>
      </c>
      <c r="K62" s="260"/>
      <c r="L62" s="260"/>
      <c r="M62" s="261"/>
      <c r="N62" s="262" t="s">
        <v>368</v>
      </c>
      <c r="O62" s="263">
        <v>2</v>
      </c>
      <c r="P62" s="247" t="s">
        <v>92</v>
      </c>
      <c r="Q62" s="263"/>
      <c r="R62" s="263"/>
      <c r="S62" s="263"/>
      <c r="T62" s="263"/>
      <c r="U62" s="263"/>
      <c r="V62" s="263"/>
      <c r="X62" s="264" t="str">
        <f>IF(C62="sinapi","ok",IF(C62="orse","ok",IF(P62="título","título",IF(P62="intertítulo","intertítulo",""))))</f>
        <v/>
      </c>
    </row>
    <row r="63" spans="1:24" s="248" customFormat="1" ht="28.5" customHeight="1">
      <c r="A63" s="266" t="str">
        <f>IF(MID(N63,1,1)="R","RECUPERAR",VLOOKUP(N63,'auxiliar memoria'!$D$40:$E$47,2,FALSE))</f>
        <v>RECUPERAR</v>
      </c>
      <c r="B63" s="267" t="str">
        <f>IF(MID(N63,1,1)="R",VLOOKUP(O63,'auxiliar memoria'!$D$40:$E$47,2,FALSE),VLOOKUP(O63,'auxiliar memoria'!$G$122:$H$140,2,FALSE))</f>
        <v>CERÂMICA APARTIR DO PISO ATÉ 1,60M</v>
      </c>
      <c r="C63" s="256"/>
      <c r="D63" s="268" t="s">
        <v>405</v>
      </c>
      <c r="E63" s="269"/>
      <c r="F63" s="258"/>
      <c r="G63" s="259">
        <f>31.39-2.13</f>
        <v>29.26</v>
      </c>
      <c r="H63" s="259"/>
      <c r="I63" s="259">
        <v>1.6</v>
      </c>
      <c r="J63" s="259">
        <f t="shared" si="3"/>
        <v>9.3632000000000009</v>
      </c>
      <c r="K63" s="260"/>
      <c r="L63" s="260"/>
      <c r="M63" s="261"/>
      <c r="N63" s="262" t="s">
        <v>368</v>
      </c>
      <c r="O63" s="263">
        <v>2</v>
      </c>
      <c r="P63" s="247" t="s">
        <v>92</v>
      </c>
      <c r="Q63" s="263"/>
      <c r="R63" s="263"/>
      <c r="S63" s="263"/>
      <c r="T63" s="263"/>
      <c r="U63" s="263"/>
      <c r="V63" s="263"/>
      <c r="X63" s="264" t="str">
        <f t="shared" si="5"/>
        <v/>
      </c>
    </row>
    <row r="64" spans="1:24" s="248" customFormat="1" ht="28.5" customHeight="1">
      <c r="A64" s="266" t="str">
        <f>IF(MID(N64,1,1)="R","RECUPERAR",VLOOKUP(N64,'auxiliar memoria'!$D$40:$E$47,2,FALSE))</f>
        <v>RECUPERAR</v>
      </c>
      <c r="B64" s="267" t="str">
        <f>IF(MID(N64,1,1)="R",VLOOKUP(O64,'auxiliar memoria'!$D$40:$E$47,2,FALSE),VLOOKUP(O64,'auxiliar memoria'!$G$122:$H$140,2,FALSE))</f>
        <v>CERÂMICA APARTIR DO PISO ATÉ 1,60M</v>
      </c>
      <c r="C64" s="256"/>
      <c r="D64" s="268" t="s">
        <v>406</v>
      </c>
      <c r="E64" s="269"/>
      <c r="F64" s="258"/>
      <c r="G64" s="259">
        <f>1.25+0.88</f>
        <v>2.13</v>
      </c>
      <c r="H64" s="259"/>
      <c r="I64" s="259">
        <v>1.6</v>
      </c>
      <c r="J64" s="259">
        <f>I64*G64</f>
        <v>3.4079999999999999</v>
      </c>
      <c r="K64" s="260"/>
      <c r="L64" s="260"/>
      <c r="M64" s="261"/>
      <c r="N64" s="262" t="s">
        <v>368</v>
      </c>
      <c r="O64" s="263">
        <v>2</v>
      </c>
      <c r="P64" s="247" t="s">
        <v>92</v>
      </c>
      <c r="Q64" s="263"/>
      <c r="R64" s="263"/>
      <c r="S64" s="263"/>
      <c r="T64" s="263"/>
      <c r="U64" s="263"/>
      <c r="V64" s="263"/>
      <c r="X64" s="264" t="str">
        <f>IF(C64="sinapi","ok",IF(C64="orse","ok",IF(P64="título","título",IF(P64="intertítulo","intertítulo",""))))</f>
        <v/>
      </c>
    </row>
    <row r="65" spans="1:24" s="248" customFormat="1" ht="28.5" customHeight="1">
      <c r="A65" s="266" t="str">
        <f>IF(MID(N65,1,1)="R","RECUPERAR",VLOOKUP(N65,'auxiliar memoria'!$D$40:$E$47,2,FALSE))</f>
        <v>RECUPERAR</v>
      </c>
      <c r="B65" s="267" t="str">
        <f>IF(MID(N65,1,1)="R",VLOOKUP(O65,'auxiliar memoria'!$D$40:$E$47,2,FALSE),VLOOKUP(O65,'auxiliar memoria'!$G$122:$H$140,2,FALSE))</f>
        <v>CERÂMICA APARTIR DO PISO ATÉ 1,60M</v>
      </c>
      <c r="C65" s="256"/>
      <c r="D65" s="268" t="s">
        <v>407</v>
      </c>
      <c r="E65" s="259"/>
      <c r="F65" s="258"/>
      <c r="G65" s="259">
        <f>31.52-2.13</f>
        <v>29.39</v>
      </c>
      <c r="H65" s="259"/>
      <c r="I65" s="259">
        <v>1.6</v>
      </c>
      <c r="J65" s="259">
        <f t="shared" si="3"/>
        <v>9.4047999999999998</v>
      </c>
      <c r="K65" s="260"/>
      <c r="L65" s="260"/>
      <c r="M65" s="261"/>
      <c r="N65" s="262" t="s">
        <v>368</v>
      </c>
      <c r="O65" s="263">
        <v>2</v>
      </c>
      <c r="P65" s="247" t="s">
        <v>92</v>
      </c>
      <c r="Q65" s="263"/>
      <c r="R65" s="263"/>
      <c r="S65" s="263"/>
      <c r="T65" s="263"/>
      <c r="U65" s="263"/>
      <c r="V65" s="263"/>
      <c r="X65" s="264" t="str">
        <f t="shared" si="5"/>
        <v/>
      </c>
    </row>
    <row r="66" spans="1:24" s="248" customFormat="1" ht="28.5" customHeight="1">
      <c r="A66" s="266" t="str">
        <f>IF(MID(N66,1,1)="R","RECUPERAR",VLOOKUP(N66,'auxiliar memoria'!$D$40:$E$47,2,FALSE))</f>
        <v>RECUPERAR</v>
      </c>
      <c r="B66" s="267" t="str">
        <f>IF(MID(N66,1,1)="R",VLOOKUP(O66,'auxiliar memoria'!$D$40:$E$47,2,FALSE),VLOOKUP(O66,'auxiliar memoria'!$G$122:$H$140,2,FALSE))</f>
        <v>CERÂMICA APARTIR DO PISO ATÉ 1,60M</v>
      </c>
      <c r="C66" s="256"/>
      <c r="D66" s="268" t="s">
        <v>408</v>
      </c>
      <c r="E66" s="259"/>
      <c r="F66" s="258"/>
      <c r="G66" s="259">
        <f>1.25+0.88</f>
        <v>2.13</v>
      </c>
      <c r="H66" s="259"/>
      <c r="I66" s="259">
        <v>1.6</v>
      </c>
      <c r="J66" s="259">
        <f>I66*G66</f>
        <v>3.4079999999999999</v>
      </c>
      <c r="K66" s="260"/>
      <c r="L66" s="260"/>
      <c r="M66" s="261"/>
      <c r="N66" s="262" t="s">
        <v>368</v>
      </c>
      <c r="O66" s="263">
        <v>2</v>
      </c>
      <c r="P66" s="247" t="s">
        <v>92</v>
      </c>
      <c r="Q66" s="263"/>
      <c r="R66" s="263"/>
      <c r="S66" s="263"/>
      <c r="T66" s="263"/>
      <c r="U66" s="263"/>
      <c r="V66" s="263"/>
      <c r="X66" s="264" t="str">
        <f>IF(C66="sinapi","ok",IF(C66="orse","ok",IF(P66="título","título",IF(P66="intertítulo","intertítulo",""))))</f>
        <v/>
      </c>
    </row>
    <row r="67" spans="1:24" s="248" customFormat="1" ht="26.25" customHeight="1">
      <c r="A67" s="266" t="str">
        <f>IF(MID(N67,1,1)="R","RECUPERAR",VLOOKUP(N67,'auxiliar memoria'!$D$40:$E$47,2,FALSE))</f>
        <v>RECUPERAR</v>
      </c>
      <c r="B67" s="267" t="str">
        <f>IF(MID(N67,1,1)="R",VLOOKUP(O67,'auxiliar memoria'!$D$40:$E$47,2,FALSE),VLOOKUP(O67,'auxiliar memoria'!$G$122:$H$140,2,FALSE))</f>
        <v>CERÂMICA APARTIR DO PISO ATÉ 1,60M</v>
      </c>
      <c r="C67" s="256"/>
      <c r="D67" s="268" t="s">
        <v>409</v>
      </c>
      <c r="E67" s="259"/>
      <c r="F67" s="258"/>
      <c r="G67" s="259">
        <f>31.38-2.13</f>
        <v>29.25</v>
      </c>
      <c r="H67" s="259"/>
      <c r="I67" s="259">
        <v>1.6</v>
      </c>
      <c r="J67" s="259">
        <f t="shared" si="3"/>
        <v>9.3600000000000012</v>
      </c>
      <c r="K67" s="260"/>
      <c r="L67" s="260"/>
      <c r="M67" s="261"/>
      <c r="N67" s="262" t="s">
        <v>368</v>
      </c>
      <c r="O67" s="263">
        <v>2</v>
      </c>
      <c r="P67" s="247" t="s">
        <v>92</v>
      </c>
      <c r="Q67" s="263"/>
      <c r="R67" s="263"/>
      <c r="S67" s="263"/>
      <c r="T67" s="263"/>
      <c r="U67" s="263"/>
      <c r="V67" s="263"/>
      <c r="X67" s="264" t="str">
        <f t="shared" si="5"/>
        <v/>
      </c>
    </row>
    <row r="68" spans="1:24" s="248" customFormat="1" ht="26.25" customHeight="1">
      <c r="A68" s="266" t="str">
        <f>IF(MID(N68,1,1)="R","RECUPERAR",VLOOKUP(N68,'auxiliar memoria'!$D$40:$E$47,2,FALSE))</f>
        <v>RECUPERAR</v>
      </c>
      <c r="B68" s="267" t="str">
        <f>IF(MID(N68,1,1)="R",VLOOKUP(O68,'auxiliar memoria'!$D$40:$E$47,2,FALSE),VLOOKUP(O68,'auxiliar memoria'!$G$122:$H$140,2,FALSE))</f>
        <v>CERÂMICA APARTIR DO PISO ATÉ 1,60M</v>
      </c>
      <c r="C68" s="256"/>
      <c r="D68" s="268" t="s">
        <v>410</v>
      </c>
      <c r="E68" s="259"/>
      <c r="F68" s="258"/>
      <c r="G68" s="259">
        <f>1.25+0.88</f>
        <v>2.13</v>
      </c>
      <c r="H68" s="259"/>
      <c r="I68" s="259">
        <v>1.6</v>
      </c>
      <c r="J68" s="259">
        <f>I68*G68</f>
        <v>3.4079999999999999</v>
      </c>
      <c r="K68" s="260"/>
      <c r="L68" s="260"/>
      <c r="M68" s="261"/>
      <c r="N68" s="262" t="s">
        <v>368</v>
      </c>
      <c r="O68" s="263">
        <v>2</v>
      </c>
      <c r="P68" s="247" t="s">
        <v>92</v>
      </c>
      <c r="Q68" s="263"/>
      <c r="R68" s="263"/>
      <c r="S68" s="263"/>
      <c r="T68" s="263"/>
      <c r="U68" s="263"/>
      <c r="V68" s="263"/>
      <c r="X68" s="264" t="str">
        <f>IF(C68="sinapi","ok",IF(C68="orse","ok",IF(P68="título","título",IF(P68="intertítulo","intertítulo",""))))</f>
        <v/>
      </c>
    </row>
    <row r="69" spans="1:24" s="248" customFormat="1" ht="28.5" customHeight="1">
      <c r="A69" s="266" t="str">
        <f>IF(MID(N69,1,1)="R","RECUPERAR",VLOOKUP(N69,'auxiliar memoria'!$D$40:$E$47,2,FALSE))</f>
        <v>RECUPERAR</v>
      </c>
      <c r="B69" s="267" t="str">
        <f>IF(MID(N69,1,1)="R",VLOOKUP(O69,'auxiliar memoria'!$D$40:$E$47,2,FALSE),VLOOKUP(O69,'auxiliar memoria'!$G$122:$H$140,2,FALSE))</f>
        <v>CERÂMICA APARTIR DO PISO ATÉ 1,60M</v>
      </c>
      <c r="C69" s="256"/>
      <c r="D69" s="268" t="s">
        <v>411</v>
      </c>
      <c r="E69" s="269"/>
      <c r="F69" s="258"/>
      <c r="G69" s="259">
        <f>31.38-2.13</f>
        <v>29.25</v>
      </c>
      <c r="H69" s="259"/>
      <c r="I69" s="259">
        <v>1.6</v>
      </c>
      <c r="J69" s="259">
        <f t="shared" si="3"/>
        <v>9.3600000000000012</v>
      </c>
      <c r="K69" s="260"/>
      <c r="L69" s="260"/>
      <c r="M69" s="261"/>
      <c r="N69" s="262" t="s">
        <v>368</v>
      </c>
      <c r="O69" s="263">
        <v>2</v>
      </c>
      <c r="P69" s="247" t="s">
        <v>92</v>
      </c>
      <c r="Q69" s="263"/>
      <c r="R69" s="263"/>
      <c r="S69" s="263"/>
      <c r="T69" s="263"/>
      <c r="U69" s="263"/>
      <c r="V69" s="263"/>
      <c r="X69" s="264" t="str">
        <f t="shared" si="5"/>
        <v/>
      </c>
    </row>
    <row r="70" spans="1:24" s="248" customFormat="1" ht="28.5" customHeight="1">
      <c r="A70" s="266" t="str">
        <f>IF(MID(N70,1,1)="R","RECUPERAR",VLOOKUP(N70,'auxiliar memoria'!$D$40:$E$47,2,FALSE))</f>
        <v>RECUPERAR</v>
      </c>
      <c r="B70" s="267" t="str">
        <f>IF(MID(N70,1,1)="R",VLOOKUP(O70,'auxiliar memoria'!$D$40:$E$47,2,FALSE),VLOOKUP(O70,'auxiliar memoria'!$G$122:$H$140,2,FALSE))</f>
        <v>CERÂMICA APARTIR DO PISO ATÉ 1,60M</v>
      </c>
      <c r="C70" s="256"/>
      <c r="D70" s="268" t="s">
        <v>412</v>
      </c>
      <c r="E70" s="269"/>
      <c r="F70" s="258"/>
      <c r="G70" s="259">
        <f>1.25+0.88</f>
        <v>2.13</v>
      </c>
      <c r="H70" s="259"/>
      <c r="I70" s="259">
        <v>1.6</v>
      </c>
      <c r="J70" s="259">
        <f>I70*G70</f>
        <v>3.4079999999999999</v>
      </c>
      <c r="K70" s="260"/>
      <c r="L70" s="260"/>
      <c r="M70" s="261"/>
      <c r="N70" s="262" t="s">
        <v>368</v>
      </c>
      <c r="O70" s="263">
        <v>2</v>
      </c>
      <c r="P70" s="247" t="s">
        <v>92</v>
      </c>
      <c r="Q70" s="263"/>
      <c r="R70" s="263"/>
      <c r="S70" s="263"/>
      <c r="T70" s="263"/>
      <c r="U70" s="263"/>
      <c r="V70" s="263"/>
      <c r="X70" s="264" t="str">
        <f>IF(C70="sinapi","ok",IF(C70="orse","ok",IF(P70="título","título",IF(P70="intertítulo","intertítulo",""))))</f>
        <v/>
      </c>
    </row>
    <row r="71" spans="1:24" s="248" customFormat="1" ht="28.5" customHeight="1">
      <c r="A71" s="266" t="str">
        <f>IF(MID(N71,1,1)="R","RECUPERAR",VLOOKUP(N71,'auxiliar memoria'!$D$40:$E$47,2,FALSE))</f>
        <v>RECUPERAR</v>
      </c>
      <c r="B71" s="267" t="str">
        <f>IF(MID(N71,1,1)="R",VLOOKUP(O71,'auxiliar memoria'!$D$40:$E$47,2,FALSE),VLOOKUP(O71,'auxiliar memoria'!$G$122:$H$140,2,FALSE))</f>
        <v>CERÂMICA APARTIR DO PISO ATÉ 1,60M</v>
      </c>
      <c r="C71" s="256"/>
      <c r="D71" s="268" t="s">
        <v>415</v>
      </c>
      <c r="E71" s="259"/>
      <c r="F71" s="258"/>
      <c r="G71" s="259">
        <f>128.55-1.83*12</f>
        <v>106.59</v>
      </c>
      <c r="H71" s="271"/>
      <c r="I71" s="259">
        <f>IF(MID(N71,1,1)="r",1.6,IF(VLOOKUP(B71,'auxiliar memoria'!$H$122:$J$141,3,FALSE)="TETO",H71,VLOOKUP(B71,'auxiliar memoria'!$H$122:$J$141,3,FALSE)))</f>
        <v>1.6</v>
      </c>
      <c r="J71" s="259">
        <f t="shared" si="3"/>
        <v>34.108800000000002</v>
      </c>
      <c r="K71" s="260"/>
      <c r="L71" s="260"/>
      <c r="M71" s="261"/>
      <c r="N71" s="262" t="s">
        <v>368</v>
      </c>
      <c r="O71" s="263">
        <v>2</v>
      </c>
      <c r="P71" s="247" t="s">
        <v>92</v>
      </c>
      <c r="Q71" s="263"/>
      <c r="R71" s="263"/>
      <c r="S71" s="263"/>
      <c r="T71" s="263"/>
      <c r="U71" s="263"/>
      <c r="V71" s="263"/>
      <c r="X71" s="264" t="str">
        <f t="shared" si="5"/>
        <v/>
      </c>
    </row>
    <row r="72" spans="1:24" s="248" customFormat="1" ht="28.5" customHeight="1">
      <c r="A72" s="266" t="str">
        <f>IF(MID(N72,1,1)="R","RECUPERAR",VLOOKUP(N72,'auxiliar memoria'!$D$40:$E$47,2,FALSE))</f>
        <v>RECUPERAR</v>
      </c>
      <c r="B72" s="267" t="str">
        <f>IF(MID(N72,1,1)="R",VLOOKUP(O72,'auxiliar memoria'!$D$40:$E$47,2,FALSE),VLOOKUP(O72,'auxiliar memoria'!$G$122:$H$140,2,FALSE))</f>
        <v>CERÂMICA APARTIR DO PISO ATÉ 1,60M</v>
      </c>
      <c r="C72" s="256"/>
      <c r="D72" s="268" t="s">
        <v>414</v>
      </c>
      <c r="E72" s="259"/>
      <c r="F72" s="258"/>
      <c r="G72" s="259">
        <f>(0.73+1.1)*12</f>
        <v>21.96</v>
      </c>
      <c r="H72" s="271"/>
      <c r="I72" s="259">
        <f>IF(MID(N72,1,1)="r",1.6,IF(VLOOKUP(B72,'auxiliar memoria'!$H$122:$J$141,3,FALSE)="TETO",H72,VLOOKUP(B72,'auxiliar memoria'!$H$122:$J$141,3,FALSE)))</f>
        <v>1.6</v>
      </c>
      <c r="J72" s="259">
        <f>I72*G72</f>
        <v>35.136000000000003</v>
      </c>
      <c r="K72" s="260"/>
      <c r="L72" s="260"/>
      <c r="M72" s="261"/>
      <c r="N72" s="262" t="s">
        <v>368</v>
      </c>
      <c r="O72" s="263">
        <v>2</v>
      </c>
      <c r="P72" s="247" t="s">
        <v>92</v>
      </c>
      <c r="Q72" s="263"/>
      <c r="R72" s="263"/>
      <c r="S72" s="263"/>
      <c r="T72" s="263"/>
      <c r="U72" s="263"/>
      <c r="V72" s="263"/>
      <c r="X72" s="264" t="str">
        <f>IF(C72="sinapi","ok",IF(C72="orse","ok",IF(P72="título","título",IF(P72="intertítulo","intertítulo",""))))</f>
        <v/>
      </c>
    </row>
    <row r="73" spans="1:24" s="248" customFormat="1" ht="28.5" customHeight="1">
      <c r="A73" s="266" t="str">
        <f>IF(MID(N73,1,1)="R","RECUPERAR",VLOOKUP(N73,'auxiliar memoria'!$D$40:$E$47,2,FALSE))</f>
        <v>RECUPERAR</v>
      </c>
      <c r="B73" s="267" t="str">
        <f>IF(MID(N73,1,1)="R",VLOOKUP(O73,'auxiliar memoria'!$D$40:$E$47,2,FALSE),VLOOKUP(O73,'auxiliar memoria'!$G$122:$H$140,2,FALSE))</f>
        <v>CERÂMICA APARTIR DO PISO ATÉ 1,60M</v>
      </c>
      <c r="C73" s="256"/>
      <c r="D73" s="268" t="s">
        <v>413</v>
      </c>
      <c r="E73" s="259"/>
      <c r="F73" s="258"/>
      <c r="G73" s="259">
        <f>2.15+2+1.2+2.15+2+1.2</f>
        <v>10.7</v>
      </c>
      <c r="H73" s="271"/>
      <c r="I73" s="259">
        <f>IF(MID(N73,1,1)="r",1.6,IF(VLOOKUP(B73,'auxiliar memoria'!$H$122:$J$141,3,FALSE)="TETO",H73,VLOOKUP(B73,'auxiliar memoria'!$H$122:$J$141,3,FALSE)))</f>
        <v>1.6</v>
      </c>
      <c r="J73" s="259">
        <f>I73*G73</f>
        <v>17.12</v>
      </c>
      <c r="K73" s="260"/>
      <c r="L73" s="260"/>
      <c r="M73" s="261"/>
      <c r="N73" s="262" t="s">
        <v>368</v>
      </c>
      <c r="O73" s="263">
        <v>2</v>
      </c>
      <c r="P73" s="247" t="s">
        <v>92</v>
      </c>
      <c r="Q73" s="263"/>
      <c r="R73" s="263"/>
      <c r="S73" s="263"/>
      <c r="T73" s="263"/>
      <c r="U73" s="263"/>
      <c r="V73" s="263"/>
      <c r="X73" s="264" t="str">
        <f>IF(C73="sinapi","ok",IF(C73="orse","ok",IF(P73="título","título",IF(P73="intertítulo","intertítulo",""))))</f>
        <v/>
      </c>
    </row>
    <row r="75" spans="1:24" s="4" customFormat="1">
      <c r="B75" s="230"/>
      <c r="N75" s="230"/>
    </row>
    <row r="76" spans="1:24" s="4" customFormat="1" ht="31.5">
      <c r="B76" s="230"/>
      <c r="D76" s="314" t="s">
        <v>96</v>
      </c>
      <c r="E76" s="314" t="s">
        <v>97</v>
      </c>
      <c r="F76" s="314" t="s">
        <v>98</v>
      </c>
      <c r="G76" s="314" t="s">
        <v>99</v>
      </c>
      <c r="H76" s="314" t="s">
        <v>100</v>
      </c>
      <c r="I76" s="314" t="s">
        <v>101</v>
      </c>
      <c r="J76" s="314" t="s">
        <v>102</v>
      </c>
      <c r="K76" s="314" t="s">
        <v>103</v>
      </c>
      <c r="L76" s="314" t="s">
        <v>104</v>
      </c>
      <c r="M76" s="314" t="s">
        <v>105</v>
      </c>
      <c r="N76" s="230"/>
    </row>
    <row r="77" spans="1:24" s="4" customFormat="1" ht="26.25">
      <c r="A77" s="313" t="s">
        <v>389</v>
      </c>
      <c r="B77" s="230"/>
      <c r="J77" s="283">
        <f>SUM(J78:J79)</f>
        <v>4.3520000000000003</v>
      </c>
      <c r="N77" s="230"/>
    </row>
    <row r="78" spans="1:24" s="248" customFormat="1" ht="28.5" customHeight="1">
      <c r="A78" s="266" t="str">
        <f>IF(MID(N78,1,1)="R","RECUPERAR",VLOOKUP(N78,'auxiliar memoria'!$D$40:$E$47,2,FALSE))</f>
        <v>RECUPERAR</v>
      </c>
      <c r="B78" s="267" t="str">
        <f>IF(MID(N78,1,1)="R",VLOOKUP(O78,'auxiliar memoria'!$D$40:$E$47,2,FALSE),VLOOKUP(O78,'auxiliar memoria'!$G$122:$H$140,2,FALSE))</f>
        <v>CERÂMICA APARTIR DO PISO ATÉ 1,60M</v>
      </c>
      <c r="C78" s="256"/>
      <c r="D78" s="268" t="s">
        <v>358</v>
      </c>
      <c r="E78" s="269"/>
      <c r="F78" s="258"/>
      <c r="G78" s="259">
        <v>6.73</v>
      </c>
      <c r="H78" s="259"/>
      <c r="I78" s="259">
        <f>IF(MID(N78,1,1)="r",1.6,IF(VLOOKUP(B78,'auxiliar memoria'!$H$122:$J$141,3,FALSE)="TETO",H78,VLOOKUP(B78,'auxiliar memoria'!$H$122:$J$141,3,FALSE)))</f>
        <v>1.6</v>
      </c>
      <c r="J78" s="259">
        <f>I78*G78*20%</f>
        <v>2.1536000000000004</v>
      </c>
      <c r="K78" s="260"/>
      <c r="L78" s="260"/>
      <c r="M78" s="261"/>
      <c r="N78" s="262" t="s">
        <v>368</v>
      </c>
      <c r="O78" s="263">
        <v>2</v>
      </c>
      <c r="P78" s="247" t="s">
        <v>92</v>
      </c>
      <c r="Q78" s="263"/>
      <c r="R78" s="263"/>
      <c r="S78" s="263"/>
      <c r="T78" s="263"/>
      <c r="U78" s="263"/>
      <c r="V78" s="263"/>
      <c r="X78" s="264" t="str">
        <f>IF(C78="sinapi","ok",IF(C78="orse","ok",IF(P78="título","título",IF(P78="intertítulo","intertítulo",""))))</f>
        <v/>
      </c>
    </row>
    <row r="79" spans="1:24" s="248" customFormat="1" ht="28.5" customHeight="1">
      <c r="A79" s="266" t="str">
        <f>IF(MID(N79,1,1)="R","RECUPERAR",VLOOKUP(N79,'auxiliar memoria'!$D$40:$E$47,2,FALSE))</f>
        <v>RECUPERAR</v>
      </c>
      <c r="B79" s="267" t="str">
        <f>IF(MID(N79,1,1)="R",VLOOKUP(O79,'auxiliar memoria'!$D$40:$E$47,2,FALSE),VLOOKUP(O79,'auxiliar memoria'!$G$122:$H$140,2,FALSE))</f>
        <v>CERÂMICA APARTIR DO PISO ATÉ 1,60M</v>
      </c>
      <c r="C79" s="256"/>
      <c r="D79" s="268" t="s">
        <v>359</v>
      </c>
      <c r="E79" s="269"/>
      <c r="F79" s="258"/>
      <c r="G79" s="259">
        <v>6.87</v>
      </c>
      <c r="H79" s="259"/>
      <c r="I79" s="259">
        <f>IF(MID(N79,1,1)="r",1.6,IF(VLOOKUP(B79,'auxiliar memoria'!$H$122:$J$141,3,FALSE)="TETO",H79,VLOOKUP(B79,'auxiliar memoria'!$H$122:$J$141,3,FALSE)))</f>
        <v>1.6</v>
      </c>
      <c r="J79" s="259">
        <f>I79*G79*20%</f>
        <v>2.1984000000000004</v>
      </c>
      <c r="K79" s="260"/>
      <c r="L79" s="260"/>
      <c r="M79" s="261"/>
      <c r="N79" s="262" t="s">
        <v>368</v>
      </c>
      <c r="O79" s="263">
        <v>2</v>
      </c>
      <c r="P79" s="247" t="s">
        <v>92</v>
      </c>
      <c r="Q79" s="263"/>
      <c r="R79" s="263"/>
      <c r="S79" s="263"/>
      <c r="T79" s="263"/>
      <c r="U79" s="263"/>
      <c r="V79" s="263"/>
      <c r="X79" s="264" t="str">
        <f>IF(C79="sinapi","ok",IF(C79="orse","ok",IF(P79="título","título",IF(P79="intertítulo","intertítulo",""))))</f>
        <v/>
      </c>
    </row>
    <row r="81" spans="1:24" s="4" customFormat="1">
      <c r="B81" s="230"/>
      <c r="N81" s="230"/>
    </row>
    <row r="82" spans="1:24" s="4" customFormat="1" ht="31.5">
      <c r="B82" s="230"/>
      <c r="D82" s="314" t="s">
        <v>96</v>
      </c>
      <c r="E82" s="314" t="s">
        <v>97</v>
      </c>
      <c r="F82" s="314" t="s">
        <v>98</v>
      </c>
      <c r="G82" s="314" t="s">
        <v>99</v>
      </c>
      <c r="H82" s="314" t="s">
        <v>100</v>
      </c>
      <c r="I82" s="314" t="s">
        <v>101</v>
      </c>
      <c r="J82" s="314" t="s">
        <v>102</v>
      </c>
      <c r="K82" s="314" t="s">
        <v>103</v>
      </c>
      <c r="L82" s="314" t="s">
        <v>104</v>
      </c>
      <c r="M82" s="314" t="s">
        <v>105</v>
      </c>
      <c r="N82" s="230"/>
    </row>
    <row r="83" spans="1:24" s="4" customFormat="1" ht="26.25">
      <c r="A83" s="313" t="s">
        <v>341</v>
      </c>
      <c r="B83" s="230"/>
      <c r="N83" s="230"/>
    </row>
    <row r="84" spans="1:24" s="4" customFormat="1" ht="26.25">
      <c r="B84" s="230"/>
      <c r="J84" s="283">
        <f>SUM(J85:J91)</f>
        <v>262.11599999999999</v>
      </c>
      <c r="N84" s="230"/>
    </row>
    <row r="85" spans="1:24" s="250" customFormat="1" ht="28.5" customHeight="1">
      <c r="A85" s="278" t="s">
        <v>187</v>
      </c>
      <c r="B85" s="279" t="s">
        <v>325</v>
      </c>
      <c r="C85" s="272"/>
      <c r="D85" s="280" t="s">
        <v>121</v>
      </c>
      <c r="E85" s="274"/>
      <c r="F85" s="273"/>
      <c r="G85" s="274">
        <v>31.22</v>
      </c>
      <c r="H85" s="274"/>
      <c r="I85" s="274">
        <v>1.8</v>
      </c>
      <c r="J85" s="274">
        <f>I85*G85</f>
        <v>56.195999999999998</v>
      </c>
      <c r="K85" s="275"/>
      <c r="L85" s="275"/>
      <c r="M85" s="276"/>
      <c r="N85" s="277">
        <v>1</v>
      </c>
      <c r="O85" s="188">
        <v>6</v>
      </c>
      <c r="P85" s="249" t="s">
        <v>92</v>
      </c>
      <c r="Q85" s="188"/>
      <c r="R85" s="188"/>
      <c r="S85" s="188"/>
      <c r="T85" s="188"/>
      <c r="U85" s="188"/>
      <c r="V85" s="188"/>
      <c r="X85" s="186" t="s">
        <v>92</v>
      </c>
    </row>
    <row r="86" spans="1:24" s="250" customFormat="1" ht="28.5" customHeight="1">
      <c r="A86" s="278" t="s">
        <v>187</v>
      </c>
      <c r="B86" s="279" t="s">
        <v>325</v>
      </c>
      <c r="C86" s="272"/>
      <c r="D86" s="280" t="s">
        <v>354</v>
      </c>
      <c r="E86" s="274"/>
      <c r="F86" s="273"/>
      <c r="G86" s="274">
        <v>18.22</v>
      </c>
      <c r="H86" s="274"/>
      <c r="I86" s="274">
        <v>1.8</v>
      </c>
      <c r="J86" s="274">
        <f t="shared" ref="J86:J91" si="6">I86*G86</f>
        <v>32.795999999999999</v>
      </c>
      <c r="K86" s="275"/>
      <c r="L86" s="275"/>
      <c r="M86" s="276"/>
      <c r="N86" s="277">
        <v>1</v>
      </c>
      <c r="O86" s="188">
        <v>6</v>
      </c>
      <c r="P86" s="249" t="s">
        <v>92</v>
      </c>
      <c r="Q86" s="188"/>
      <c r="R86" s="188"/>
      <c r="S86" s="188"/>
      <c r="T86" s="188"/>
      <c r="U86" s="188"/>
      <c r="V86" s="188"/>
      <c r="X86" s="186" t="s">
        <v>92</v>
      </c>
    </row>
    <row r="87" spans="1:24" s="250" customFormat="1" ht="28.5" customHeight="1">
      <c r="A87" s="278" t="s">
        <v>187</v>
      </c>
      <c r="B87" s="279" t="s">
        <v>325</v>
      </c>
      <c r="C87" s="272"/>
      <c r="D87" s="280" t="s">
        <v>355</v>
      </c>
      <c r="E87" s="282"/>
      <c r="F87" s="273"/>
      <c r="G87" s="274">
        <v>19.46</v>
      </c>
      <c r="H87" s="274"/>
      <c r="I87" s="274">
        <v>1.8</v>
      </c>
      <c r="J87" s="274">
        <f t="shared" si="6"/>
        <v>35.028000000000006</v>
      </c>
      <c r="K87" s="275"/>
      <c r="L87" s="275"/>
      <c r="M87" s="276"/>
      <c r="N87" s="277">
        <v>1</v>
      </c>
      <c r="O87" s="188">
        <v>6</v>
      </c>
      <c r="P87" s="249" t="s">
        <v>92</v>
      </c>
      <c r="Q87" s="188"/>
      <c r="R87" s="188"/>
      <c r="S87" s="188"/>
      <c r="T87" s="188"/>
      <c r="U87" s="188"/>
      <c r="V87" s="188"/>
      <c r="X87" s="186" t="s">
        <v>92</v>
      </c>
    </row>
    <row r="88" spans="1:24" s="250" customFormat="1" ht="28.5" customHeight="1">
      <c r="A88" s="278" t="s">
        <v>187</v>
      </c>
      <c r="B88" s="279" t="s">
        <v>325</v>
      </c>
      <c r="C88" s="272"/>
      <c r="D88" s="280" t="s">
        <v>356</v>
      </c>
      <c r="E88" s="274"/>
      <c r="F88" s="273"/>
      <c r="G88" s="274">
        <v>18.22</v>
      </c>
      <c r="H88" s="274"/>
      <c r="I88" s="274">
        <v>1.8</v>
      </c>
      <c r="J88" s="274">
        <f t="shared" si="6"/>
        <v>32.795999999999999</v>
      </c>
      <c r="K88" s="275"/>
      <c r="L88" s="275"/>
      <c r="M88" s="276"/>
      <c r="N88" s="277">
        <v>1</v>
      </c>
      <c r="O88" s="188">
        <v>6</v>
      </c>
      <c r="P88" s="249" t="s">
        <v>92</v>
      </c>
      <c r="Q88" s="188"/>
      <c r="R88" s="188"/>
      <c r="S88" s="188"/>
      <c r="T88" s="188"/>
      <c r="U88" s="188"/>
      <c r="V88" s="188"/>
      <c r="X88" s="186" t="s">
        <v>92</v>
      </c>
    </row>
    <row r="89" spans="1:24" s="250" customFormat="1" ht="28.5" customHeight="1">
      <c r="A89" s="278" t="s">
        <v>187</v>
      </c>
      <c r="B89" s="279" t="s">
        <v>325</v>
      </c>
      <c r="C89" s="272"/>
      <c r="D89" s="280" t="s">
        <v>357</v>
      </c>
      <c r="E89" s="282"/>
      <c r="F89" s="273"/>
      <c r="G89" s="274">
        <v>19.440000000000001</v>
      </c>
      <c r="H89" s="274"/>
      <c r="I89" s="274">
        <v>1.8</v>
      </c>
      <c r="J89" s="274">
        <f t="shared" si="6"/>
        <v>34.992000000000004</v>
      </c>
      <c r="K89" s="275"/>
      <c r="L89" s="275"/>
      <c r="M89" s="276"/>
      <c r="N89" s="277">
        <v>1</v>
      </c>
      <c r="O89" s="188">
        <v>6</v>
      </c>
      <c r="P89" s="249" t="s">
        <v>92</v>
      </c>
      <c r="Q89" s="188"/>
      <c r="R89" s="188"/>
      <c r="S89" s="188"/>
      <c r="T89" s="188"/>
      <c r="U89" s="188"/>
      <c r="V89" s="188"/>
      <c r="X89" s="186" t="s">
        <v>92</v>
      </c>
    </row>
    <row r="90" spans="1:24" s="250" customFormat="1" ht="28.5" customHeight="1">
      <c r="A90" s="278" t="s">
        <v>187</v>
      </c>
      <c r="B90" s="279" t="s">
        <v>322</v>
      </c>
      <c r="C90" s="272"/>
      <c r="D90" s="280" t="s">
        <v>360</v>
      </c>
      <c r="E90" s="274"/>
      <c r="F90" s="273"/>
      <c r="G90" s="274">
        <v>25.07</v>
      </c>
      <c r="H90" s="281"/>
      <c r="I90" s="274">
        <v>1.8</v>
      </c>
      <c r="J90" s="274">
        <f t="shared" si="6"/>
        <v>45.126000000000005</v>
      </c>
      <c r="K90" s="275"/>
      <c r="L90" s="275"/>
      <c r="M90" s="276"/>
      <c r="N90" s="277">
        <v>1</v>
      </c>
      <c r="O90" s="188">
        <v>1</v>
      </c>
      <c r="P90" s="249" t="s">
        <v>92</v>
      </c>
      <c r="Q90" s="188"/>
      <c r="R90" s="188"/>
      <c r="S90" s="188"/>
      <c r="T90" s="188"/>
      <c r="U90" s="188"/>
      <c r="V90" s="188"/>
      <c r="X90" s="186" t="s">
        <v>92</v>
      </c>
    </row>
    <row r="91" spans="1:24" s="250" customFormat="1" ht="28.5" customHeight="1">
      <c r="A91" s="278" t="s">
        <v>319</v>
      </c>
      <c r="B91" s="279" t="s">
        <v>322</v>
      </c>
      <c r="C91" s="272"/>
      <c r="D91" s="280" t="s">
        <v>362</v>
      </c>
      <c r="E91" s="282"/>
      <c r="F91" s="273"/>
      <c r="G91" s="274">
        <v>13.99</v>
      </c>
      <c r="H91" s="274"/>
      <c r="I91" s="274">
        <v>1.8</v>
      </c>
      <c r="J91" s="274">
        <f t="shared" si="6"/>
        <v>25.182000000000002</v>
      </c>
      <c r="K91" s="275"/>
      <c r="L91" s="275"/>
      <c r="M91" s="276"/>
      <c r="N91" s="277">
        <v>2</v>
      </c>
      <c r="O91" s="188">
        <v>1</v>
      </c>
      <c r="P91" s="249" t="s">
        <v>92</v>
      </c>
      <c r="Q91" s="188"/>
      <c r="R91" s="188"/>
      <c r="S91" s="188"/>
      <c r="T91" s="188"/>
      <c r="U91" s="188"/>
      <c r="V91" s="188"/>
      <c r="X91" s="186" t="s">
        <v>92</v>
      </c>
    </row>
    <row r="92" spans="1:24" s="4" customFormat="1">
      <c r="B92" s="230"/>
      <c r="N92" s="230"/>
    </row>
    <row r="93" spans="1:24" s="4" customFormat="1">
      <c r="B93" s="230"/>
      <c r="N93" s="230"/>
    </row>
    <row r="94" spans="1:24" s="4" customFormat="1" ht="31.5">
      <c r="B94" s="230"/>
      <c r="D94" s="314" t="s">
        <v>96</v>
      </c>
      <c r="E94" s="314" t="s">
        <v>97</v>
      </c>
      <c r="F94" s="314" t="s">
        <v>98</v>
      </c>
      <c r="G94" s="314" t="s">
        <v>99</v>
      </c>
      <c r="H94" s="314" t="s">
        <v>100</v>
      </c>
      <c r="I94" s="314" t="s">
        <v>101</v>
      </c>
      <c r="J94" s="314" t="s">
        <v>102</v>
      </c>
      <c r="K94" s="314" t="s">
        <v>103</v>
      </c>
      <c r="L94" s="314" t="s">
        <v>104</v>
      </c>
      <c r="M94" s="314" t="s">
        <v>105</v>
      </c>
      <c r="N94" s="230"/>
    </row>
    <row r="95" spans="1:24" s="4" customFormat="1" ht="26.25">
      <c r="A95" s="313" t="s">
        <v>342</v>
      </c>
      <c r="B95" s="230"/>
      <c r="J95" s="283">
        <f>SUM(J96:J99)</f>
        <v>328.64399999999995</v>
      </c>
      <c r="N95" s="230"/>
    </row>
    <row r="96" spans="1:24" s="292" customFormat="1" ht="28.5" customHeight="1">
      <c r="A96" s="315" t="s">
        <v>380</v>
      </c>
      <c r="B96" s="295" t="s">
        <v>327</v>
      </c>
      <c r="C96" s="284"/>
      <c r="D96" s="294" t="s">
        <v>361</v>
      </c>
      <c r="E96" s="285"/>
      <c r="F96" s="286"/>
      <c r="G96" s="287">
        <v>58.79999999999999</v>
      </c>
      <c r="H96" s="287"/>
      <c r="I96" s="287">
        <v>2.5499999999999998</v>
      </c>
      <c r="J96" s="287">
        <f>I96*G96</f>
        <v>149.93999999999997</v>
      </c>
      <c r="K96" s="288"/>
      <c r="L96" s="288"/>
      <c r="M96" s="289"/>
      <c r="N96" s="316">
        <v>3</v>
      </c>
      <c r="O96" s="290">
        <v>8</v>
      </c>
      <c r="P96" s="291" t="s">
        <v>92</v>
      </c>
      <c r="Q96" s="290"/>
      <c r="R96" s="290"/>
      <c r="S96" s="290"/>
      <c r="T96" s="290"/>
      <c r="U96" s="290"/>
      <c r="V96" s="290"/>
      <c r="X96" s="293" t="s">
        <v>92</v>
      </c>
    </row>
    <row r="97" spans="1:24" s="292" customFormat="1" ht="28.5" customHeight="1">
      <c r="A97" s="315" t="s">
        <v>380</v>
      </c>
      <c r="B97" s="295" t="s">
        <v>327</v>
      </c>
      <c r="C97" s="284"/>
      <c r="D97" s="294" t="s">
        <v>369</v>
      </c>
      <c r="E97" s="285"/>
      <c r="F97" s="286"/>
      <c r="G97" s="287">
        <v>5.6</v>
      </c>
      <c r="H97" s="287"/>
      <c r="I97" s="287">
        <v>2.5499999999999998</v>
      </c>
      <c r="J97" s="287">
        <f>I97*G97</f>
        <v>14.279999999999998</v>
      </c>
      <c r="K97" s="288"/>
      <c r="L97" s="288"/>
      <c r="M97" s="289"/>
      <c r="N97" s="316">
        <v>3</v>
      </c>
      <c r="O97" s="290">
        <v>8</v>
      </c>
      <c r="P97" s="291" t="s">
        <v>92</v>
      </c>
      <c r="Q97" s="290"/>
      <c r="R97" s="290"/>
      <c r="S97" s="290"/>
      <c r="T97" s="290"/>
      <c r="U97" s="290"/>
      <c r="V97" s="290"/>
      <c r="X97" s="293" t="s">
        <v>92</v>
      </c>
    </row>
    <row r="98" spans="1:24" s="292" customFormat="1" ht="28.5" customHeight="1">
      <c r="A98" s="315" t="s">
        <v>380</v>
      </c>
      <c r="B98" s="295" t="s">
        <v>327</v>
      </c>
      <c r="C98" s="284"/>
      <c r="D98" s="294" t="s">
        <v>353</v>
      </c>
      <c r="E98" s="285"/>
      <c r="F98" s="286"/>
      <c r="G98" s="287">
        <v>56.99</v>
      </c>
      <c r="H98" s="287"/>
      <c r="I98" s="287">
        <v>2.5499999999999998</v>
      </c>
      <c r="J98" s="287">
        <f>I98*G98</f>
        <v>145.3245</v>
      </c>
      <c r="K98" s="288"/>
      <c r="L98" s="288"/>
      <c r="M98" s="289"/>
      <c r="N98" s="316">
        <v>3</v>
      </c>
      <c r="O98" s="290">
        <v>8</v>
      </c>
      <c r="P98" s="291" t="s">
        <v>92</v>
      </c>
      <c r="Q98" s="290"/>
      <c r="R98" s="290"/>
      <c r="S98" s="290"/>
      <c r="T98" s="290"/>
      <c r="U98" s="290"/>
      <c r="V98" s="290"/>
      <c r="X98" s="293" t="s">
        <v>92</v>
      </c>
    </row>
    <row r="99" spans="1:24" s="292" customFormat="1" ht="28.5" customHeight="1">
      <c r="A99" s="315" t="s">
        <v>319</v>
      </c>
      <c r="B99" s="295" t="s">
        <v>327</v>
      </c>
      <c r="C99" s="284"/>
      <c r="D99" s="294" t="s">
        <v>364</v>
      </c>
      <c r="E99" s="296"/>
      <c r="F99" s="286"/>
      <c r="G99" s="287">
        <v>7.4899999999999993</v>
      </c>
      <c r="H99" s="287"/>
      <c r="I99" s="287">
        <v>2.5499999999999998</v>
      </c>
      <c r="J99" s="287">
        <f>I99*G99</f>
        <v>19.099499999999995</v>
      </c>
      <c r="K99" s="288"/>
      <c r="L99" s="288"/>
      <c r="M99" s="289"/>
      <c r="N99" s="316">
        <v>2</v>
      </c>
      <c r="O99" s="290">
        <v>8</v>
      </c>
      <c r="P99" s="291" t="s">
        <v>92</v>
      </c>
      <c r="Q99" s="290"/>
      <c r="R99" s="290"/>
      <c r="S99" s="290"/>
      <c r="T99" s="290"/>
      <c r="U99" s="290"/>
      <c r="V99" s="290"/>
      <c r="X99" s="293" t="s">
        <v>92</v>
      </c>
    </row>
    <row r="100" spans="1:24" s="4" customFormat="1">
      <c r="B100" s="230"/>
      <c r="N100" s="230"/>
    </row>
    <row r="101" spans="1:24" s="4" customFormat="1" ht="31.5">
      <c r="B101" s="230"/>
      <c r="D101" s="314" t="s">
        <v>96</v>
      </c>
      <c r="E101" s="314" t="s">
        <v>97</v>
      </c>
      <c r="F101" s="314" t="s">
        <v>98</v>
      </c>
      <c r="G101" s="314" t="s">
        <v>99</v>
      </c>
      <c r="H101" s="314" t="s">
        <v>100</v>
      </c>
      <c r="I101" s="314" t="s">
        <v>101</v>
      </c>
      <c r="J101" s="314" t="s">
        <v>102</v>
      </c>
      <c r="K101" s="314" t="s">
        <v>103</v>
      </c>
      <c r="L101" s="314" t="s">
        <v>104</v>
      </c>
      <c r="M101" s="314" t="s">
        <v>105</v>
      </c>
      <c r="N101" s="230"/>
    </row>
    <row r="102" spans="1:24" s="4" customFormat="1" ht="26.25">
      <c r="A102" s="313" t="s">
        <v>390</v>
      </c>
      <c r="B102" s="230"/>
      <c r="J102" s="283">
        <f>SUM(J103:J106)</f>
        <v>44.038499999999999</v>
      </c>
      <c r="N102" s="230"/>
    </row>
    <row r="103" spans="1:24" s="329" customFormat="1" ht="28.5" customHeight="1">
      <c r="A103" s="317" t="s">
        <v>380</v>
      </c>
      <c r="B103" s="318" t="s">
        <v>324</v>
      </c>
      <c r="C103" s="319"/>
      <c r="D103" s="320" t="s">
        <v>370</v>
      </c>
      <c r="E103" s="321"/>
      <c r="F103" s="322"/>
      <c r="G103" s="323">
        <v>5.6</v>
      </c>
      <c r="H103" s="323"/>
      <c r="I103" s="323">
        <v>2.5499999999999998</v>
      </c>
      <c r="J103" s="323">
        <f>I103*G103</f>
        <v>14.279999999999998</v>
      </c>
      <c r="K103" s="324"/>
      <c r="L103" s="324"/>
      <c r="M103" s="325"/>
      <c r="N103" s="326">
        <v>3</v>
      </c>
      <c r="O103" s="327">
        <v>5</v>
      </c>
      <c r="P103" s="328" t="s">
        <v>92</v>
      </c>
      <c r="Q103" s="327"/>
      <c r="R103" s="327"/>
      <c r="S103" s="327"/>
      <c r="T103" s="327"/>
      <c r="U103" s="327"/>
      <c r="V103" s="327"/>
      <c r="X103" s="330" t="s">
        <v>92</v>
      </c>
    </row>
    <row r="104" spans="1:24" s="329" customFormat="1" ht="28.5" customHeight="1">
      <c r="A104" s="317" t="s">
        <v>319</v>
      </c>
      <c r="B104" s="318" t="s">
        <v>323</v>
      </c>
      <c r="C104" s="319"/>
      <c r="D104" s="320" t="s">
        <v>363</v>
      </c>
      <c r="E104" s="331"/>
      <c r="F104" s="322"/>
      <c r="G104" s="323">
        <v>7.1100000000000012</v>
      </c>
      <c r="H104" s="323"/>
      <c r="I104" s="323">
        <v>2.5499999999999998</v>
      </c>
      <c r="J104" s="323">
        <f>I104*G104</f>
        <v>18.130500000000001</v>
      </c>
      <c r="K104" s="324"/>
      <c r="L104" s="324"/>
      <c r="M104" s="325"/>
      <c r="N104" s="326">
        <v>2</v>
      </c>
      <c r="O104" s="327">
        <v>4</v>
      </c>
      <c r="P104" s="328" t="s">
        <v>92</v>
      </c>
      <c r="Q104" s="327"/>
      <c r="R104" s="327"/>
      <c r="S104" s="327"/>
      <c r="T104" s="327"/>
      <c r="U104" s="327"/>
      <c r="V104" s="327"/>
      <c r="X104" s="330" t="s">
        <v>92</v>
      </c>
    </row>
    <row r="105" spans="1:24" s="329" customFormat="1" ht="28.5" customHeight="1">
      <c r="A105" s="317" t="s">
        <v>319</v>
      </c>
      <c r="B105" s="318" t="s">
        <v>323</v>
      </c>
      <c r="C105" s="319"/>
      <c r="D105" s="320" t="s">
        <v>371</v>
      </c>
      <c r="E105" s="331"/>
      <c r="F105" s="322"/>
      <c r="G105" s="323">
        <v>2.1</v>
      </c>
      <c r="H105" s="323"/>
      <c r="I105" s="323">
        <v>2.5499999999999998</v>
      </c>
      <c r="J105" s="323">
        <f>I105*G105</f>
        <v>5.3549999999999995</v>
      </c>
      <c r="K105" s="324"/>
      <c r="L105" s="324"/>
      <c r="M105" s="325"/>
      <c r="N105" s="326">
        <v>2</v>
      </c>
      <c r="O105" s="327">
        <v>4</v>
      </c>
      <c r="P105" s="328" t="s">
        <v>92</v>
      </c>
      <c r="Q105" s="327"/>
      <c r="R105" s="327"/>
      <c r="S105" s="327"/>
      <c r="T105" s="327"/>
      <c r="U105" s="327"/>
      <c r="V105" s="327"/>
      <c r="X105" s="330" t="s">
        <v>92</v>
      </c>
    </row>
    <row r="106" spans="1:24" s="329" customFormat="1" ht="28.5" customHeight="1">
      <c r="A106" s="317" t="s">
        <v>319</v>
      </c>
      <c r="B106" s="318" t="s">
        <v>324</v>
      </c>
      <c r="C106" s="319"/>
      <c r="D106" s="320" t="s">
        <v>372</v>
      </c>
      <c r="E106" s="331"/>
      <c r="F106" s="322"/>
      <c r="G106" s="323">
        <v>2.46</v>
      </c>
      <c r="H106" s="323"/>
      <c r="I106" s="323">
        <v>2.5499999999999998</v>
      </c>
      <c r="J106" s="323">
        <f>I106*G106</f>
        <v>6.2729999999999997</v>
      </c>
      <c r="K106" s="324"/>
      <c r="L106" s="324"/>
      <c r="M106" s="325"/>
      <c r="N106" s="326">
        <v>2</v>
      </c>
      <c r="O106" s="327">
        <v>5</v>
      </c>
      <c r="P106" s="328" t="s">
        <v>92</v>
      </c>
      <c r="Q106" s="327"/>
      <c r="R106" s="327"/>
      <c r="S106" s="327"/>
      <c r="T106" s="327"/>
      <c r="U106" s="327"/>
      <c r="V106" s="327"/>
      <c r="X106" s="330" t="s">
        <v>92</v>
      </c>
    </row>
    <row r="107" spans="1:24" s="4" customFormat="1">
      <c r="B107" s="230"/>
      <c r="N107" s="230"/>
    </row>
    <row r="108" spans="1:24" s="4" customFormat="1">
      <c r="B108" s="230"/>
      <c r="N108" s="230"/>
    </row>
    <row r="109" spans="1:24" s="4" customFormat="1" ht="31.5">
      <c r="B109" s="230"/>
      <c r="D109" s="314" t="s">
        <v>96</v>
      </c>
      <c r="E109" s="314" t="s">
        <v>97</v>
      </c>
      <c r="F109" s="314" t="s">
        <v>98</v>
      </c>
      <c r="G109" s="314" t="s">
        <v>99</v>
      </c>
      <c r="H109" s="314" t="s">
        <v>100</v>
      </c>
      <c r="I109" s="314" t="s">
        <v>101</v>
      </c>
      <c r="J109" s="314" t="s">
        <v>102</v>
      </c>
      <c r="K109" s="314" t="s">
        <v>103</v>
      </c>
      <c r="L109" s="314" t="s">
        <v>104</v>
      </c>
      <c r="M109" s="314" t="s">
        <v>105</v>
      </c>
      <c r="N109" s="230"/>
    </row>
    <row r="110" spans="1:24" ht="26.25">
      <c r="A110" s="312" t="s">
        <v>340</v>
      </c>
      <c r="J110" s="283">
        <f>SUM(J111:J141)</f>
        <v>1240.4654999999998</v>
      </c>
    </row>
    <row r="111" spans="1:24" s="248" customFormat="1" ht="28.5" customHeight="1">
      <c r="A111" s="266" t="str">
        <f>IF(MID(N111,1,1)="R","RECUPERAR",VLOOKUP(N111,'auxiliar memoria'!$D$40:$E$47,2,FALSE))</f>
        <v>RECUPERAR</v>
      </c>
      <c r="B111" s="267" t="str">
        <f>IF(MID(N111,1,1)="R",VLOOKUP(O111,'auxiliar memoria'!$D$40:$E$47,2,FALSE),VLOOKUP(O111,'auxiliar memoria'!$G$122:$H$140,2,FALSE))</f>
        <v>CERÂMICA APARTIR DO PISO ATÉ 1,60M</v>
      </c>
      <c r="C111" s="256"/>
      <c r="D111" s="268" t="s">
        <v>109</v>
      </c>
      <c r="E111" s="257"/>
      <c r="F111" s="258"/>
      <c r="G111" s="259">
        <v>31.37</v>
      </c>
      <c r="H111" s="259"/>
      <c r="I111" s="259">
        <v>1.0699999999999998</v>
      </c>
      <c r="J111" s="259">
        <f>I111*G111</f>
        <v>33.565899999999999</v>
      </c>
      <c r="K111" s="260"/>
      <c r="L111" s="260"/>
      <c r="M111" s="261"/>
      <c r="N111" s="262" t="s">
        <v>368</v>
      </c>
      <c r="O111" s="263">
        <v>2</v>
      </c>
      <c r="P111" s="247"/>
      <c r="Q111" s="263" t="s">
        <v>317</v>
      </c>
      <c r="R111" s="263"/>
      <c r="S111" s="263"/>
      <c r="T111" s="263"/>
      <c r="U111" s="263"/>
      <c r="V111" s="263"/>
      <c r="X111" s="264"/>
    </row>
    <row r="112" spans="1:24" s="248" customFormat="1" ht="28.5" customHeight="1">
      <c r="A112" s="266" t="str">
        <f>IF(MID(N112,1,1)="R","RECUPERAR",VLOOKUP(N112,'auxiliar memoria'!$D$40:$E$47,2,FALSE))</f>
        <v>RECUPERAR</v>
      </c>
      <c r="B112" s="267" t="str">
        <f>IF(MID(N112,1,1)="R",VLOOKUP(O112,'auxiliar memoria'!$D$40:$E$47,2,FALSE),VLOOKUP(O112,'auxiliar memoria'!$G$122:$H$140,2,FALSE))</f>
        <v>CERÂMICA APARTIR DO PISO ATÉ 1,60M</v>
      </c>
      <c r="C112" s="256"/>
      <c r="D112" s="268" t="s">
        <v>110</v>
      </c>
      <c r="E112" s="257"/>
      <c r="F112" s="258"/>
      <c r="G112" s="259">
        <v>31.3</v>
      </c>
      <c r="H112" s="259"/>
      <c r="I112" s="259">
        <v>1.0699999999999998</v>
      </c>
      <c r="J112" s="259">
        <f t="shared" ref="J112:J132" si="7">I112*G112</f>
        <v>33.490999999999993</v>
      </c>
      <c r="K112" s="260"/>
      <c r="L112" s="260"/>
      <c r="M112" s="261"/>
      <c r="N112" s="262" t="s">
        <v>368</v>
      </c>
      <c r="O112" s="263">
        <v>2</v>
      </c>
      <c r="P112" s="265"/>
      <c r="Q112" s="263"/>
      <c r="R112" s="263"/>
      <c r="S112" s="263"/>
      <c r="T112" s="263"/>
      <c r="U112" s="263"/>
      <c r="V112" s="263"/>
      <c r="X112" s="264"/>
    </row>
    <row r="113" spans="1:24" s="248" customFormat="1" ht="28.5" customHeight="1">
      <c r="A113" s="266" t="str">
        <f>IF(MID(N113,1,1)="R","RECUPERAR",VLOOKUP(N113,'auxiliar memoria'!$D$40:$E$47,2,FALSE))</f>
        <v>RECUPERAR</v>
      </c>
      <c r="B113" s="267" t="str">
        <f>IF(MID(N113,1,1)="R",VLOOKUP(O113,'auxiliar memoria'!$D$40:$E$47,2,FALSE),VLOOKUP(O113,'auxiliar memoria'!$G$122:$H$140,2,FALSE))</f>
        <v>CERÂMICA APARTIR DO PISO ATÉ 1,60M</v>
      </c>
      <c r="C113" s="256"/>
      <c r="D113" s="268" t="s">
        <v>111</v>
      </c>
      <c r="E113" s="257"/>
      <c r="F113" s="258"/>
      <c r="G113" s="259">
        <v>31.46</v>
      </c>
      <c r="H113" s="259"/>
      <c r="I113" s="259">
        <v>1.0699999999999998</v>
      </c>
      <c r="J113" s="259">
        <f t="shared" si="7"/>
        <v>33.662199999999999</v>
      </c>
      <c r="K113" s="260"/>
      <c r="L113" s="260"/>
      <c r="M113" s="261"/>
      <c r="N113" s="262" t="s">
        <v>368</v>
      </c>
      <c r="O113" s="263">
        <v>2</v>
      </c>
      <c r="P113" s="247" t="s">
        <v>92</v>
      </c>
      <c r="Q113" s="263"/>
      <c r="R113" s="263"/>
      <c r="S113" s="263"/>
      <c r="T113" s="263"/>
      <c r="U113" s="263"/>
      <c r="V113" s="263"/>
      <c r="X113" s="264" t="str">
        <f>IF(C113="sinapi","ok",IF(C113="orse","ok",IF(P113="título","título",IF(P113="intertítulo","intertítulo",""))))</f>
        <v/>
      </c>
    </row>
    <row r="114" spans="1:24" s="248" customFormat="1" ht="23.25">
      <c r="A114" s="266" t="str">
        <f>IF(MID(N114,1,1)="R","RECUPERAR",VLOOKUP(N114,'auxiliar memoria'!$D$40:$E$47,2,FALSE))</f>
        <v>RECUPERAR</v>
      </c>
      <c r="B114" s="267" t="str">
        <f>IF(MID(N114,1,1)="R",VLOOKUP(O114,'auxiliar memoria'!$D$40:$E$47,2,FALSE),VLOOKUP(O114,'auxiliar memoria'!$G$122:$H$140,2,FALSE))</f>
        <v>CERÂMICA APARTIR DO PISO ATÉ 1,60M</v>
      </c>
      <c r="C114" s="256"/>
      <c r="D114" s="268" t="s">
        <v>112</v>
      </c>
      <c r="E114" s="257"/>
      <c r="F114" s="258"/>
      <c r="G114" s="259">
        <v>31.38</v>
      </c>
      <c r="H114" s="259"/>
      <c r="I114" s="259">
        <v>1.0699999999999998</v>
      </c>
      <c r="J114" s="259">
        <f t="shared" si="7"/>
        <v>33.576599999999992</v>
      </c>
      <c r="K114" s="260"/>
      <c r="L114" s="260"/>
      <c r="M114" s="261"/>
      <c r="N114" s="262" t="s">
        <v>368</v>
      </c>
      <c r="O114" s="263">
        <v>2</v>
      </c>
      <c r="P114" s="247" t="s">
        <v>92</v>
      </c>
      <c r="Q114" s="263"/>
      <c r="R114" s="263"/>
      <c r="S114" s="263"/>
      <c r="T114" s="263"/>
      <c r="U114" s="263"/>
      <c r="V114" s="263"/>
      <c r="X114" s="264" t="str">
        <f>IF(C114="sinapi","ok",IF(C114="orse","ok",IF(P114="título","título",IF(P114="intertítulo","intertítulo",""))))</f>
        <v/>
      </c>
    </row>
    <row r="115" spans="1:24" s="248" customFormat="1" ht="28.5" customHeight="1">
      <c r="A115" s="266" t="str">
        <f>IF(MID(N115,1,1)="R","RECUPERAR",VLOOKUP(N115,'auxiliar memoria'!$D$40:$E$47,2,FALSE))</f>
        <v>RECUPERAR</v>
      </c>
      <c r="B115" s="267" t="str">
        <f>IF(MID(N115,1,1)="R",VLOOKUP(O115,'auxiliar memoria'!$D$40:$E$47,2,FALSE),VLOOKUP(O115,'auxiliar memoria'!$G$122:$H$140,2,FALSE))</f>
        <v>CERÂMICA APARTIR DO PISO ATÉ 1,60M</v>
      </c>
      <c r="C115" s="256"/>
      <c r="D115" s="268" t="s">
        <v>113</v>
      </c>
      <c r="E115" s="257"/>
      <c r="F115" s="258"/>
      <c r="G115" s="259">
        <v>31.42</v>
      </c>
      <c r="H115" s="259"/>
      <c r="I115" s="259">
        <v>1.0699999999999998</v>
      </c>
      <c r="J115" s="259">
        <f t="shared" si="7"/>
        <v>33.619399999999999</v>
      </c>
      <c r="K115" s="260"/>
      <c r="L115" s="260"/>
      <c r="M115" s="261"/>
      <c r="N115" s="262" t="s">
        <v>368</v>
      </c>
      <c r="O115" s="263">
        <v>2</v>
      </c>
      <c r="P115" s="247" t="s">
        <v>92</v>
      </c>
      <c r="Q115" s="263"/>
      <c r="R115" s="263"/>
      <c r="S115" s="263"/>
      <c r="T115" s="263"/>
      <c r="U115" s="263"/>
      <c r="V115" s="263"/>
      <c r="X115" s="264" t="str">
        <f>IF(C115="sinapi","ok",IF(C115="orse","ok",IF(P115="título","título",IF(P115="intertítulo","intertítulo",""))))</f>
        <v/>
      </c>
    </row>
    <row r="116" spans="1:24" s="248" customFormat="1" ht="28.5" customHeight="1">
      <c r="A116" s="266" t="str">
        <f>IF(MID(N116,1,1)="R","RECUPERAR",VLOOKUP(N116,'auxiliar memoria'!$D$40:$E$47,2,FALSE))</f>
        <v>RECUPERAR</v>
      </c>
      <c r="B116" s="267" t="str">
        <f>IF(MID(N116,1,1)="R",VLOOKUP(O116,'auxiliar memoria'!$D$40:$E$47,2,FALSE),VLOOKUP(O116,'auxiliar memoria'!$G$122:$H$140,2,FALSE))</f>
        <v>CERÂMICA APARTIR DO PISO ATÉ 1,60M</v>
      </c>
      <c r="C116" s="256"/>
      <c r="D116" s="268" t="s">
        <v>114</v>
      </c>
      <c r="E116" s="257"/>
      <c r="F116" s="258"/>
      <c r="G116" s="259">
        <v>31.36</v>
      </c>
      <c r="H116" s="259"/>
      <c r="I116" s="259">
        <v>1.0699999999999998</v>
      </c>
      <c r="J116" s="259">
        <f t="shared" si="7"/>
        <v>33.555199999999992</v>
      </c>
      <c r="K116" s="260"/>
      <c r="L116" s="260"/>
      <c r="M116" s="261"/>
      <c r="N116" s="262" t="s">
        <v>368</v>
      </c>
      <c r="O116" s="263">
        <v>2</v>
      </c>
      <c r="P116" s="247" t="s">
        <v>92</v>
      </c>
      <c r="Q116" s="263"/>
      <c r="R116" s="263"/>
      <c r="S116" s="263"/>
      <c r="T116" s="263"/>
      <c r="U116" s="263"/>
      <c r="V116" s="263"/>
      <c r="X116" s="264" t="str">
        <f>IF(C116="sinapi","ok",IF(C116="orse","ok",IF(P116="título","título",IF(P116="intertítulo","intertítulo",""))))</f>
        <v/>
      </c>
    </row>
    <row r="117" spans="1:24" s="248" customFormat="1" ht="28.5" customHeight="1">
      <c r="A117" s="266" t="str">
        <f>IF(MID(N117,1,1)="R","RECUPERAR",VLOOKUP(N117,'auxiliar memoria'!$D$40:$E$47,2,FALSE))</f>
        <v>RECUPERAR</v>
      </c>
      <c r="B117" s="267" t="str">
        <f>IF(MID(N117,1,1)="R",VLOOKUP(O117,'auxiliar memoria'!$D$40:$E$47,2,FALSE),VLOOKUP(O117,'auxiliar memoria'!$G$122:$H$140,2,FALSE))</f>
        <v>CERÂMICA APARTIR DO PISO ATÉ 1,60M</v>
      </c>
      <c r="C117" s="256"/>
      <c r="D117" s="268" t="s">
        <v>115</v>
      </c>
      <c r="E117" s="269"/>
      <c r="F117" s="258"/>
      <c r="G117" s="259">
        <v>31.36</v>
      </c>
      <c r="H117" s="259"/>
      <c r="I117" s="259">
        <v>1.0699999999999998</v>
      </c>
      <c r="J117" s="259">
        <f t="shared" si="7"/>
        <v>33.555199999999992</v>
      </c>
      <c r="K117" s="260"/>
      <c r="L117" s="260"/>
      <c r="M117" s="261"/>
      <c r="N117" s="262" t="s">
        <v>368</v>
      </c>
      <c r="O117" s="263">
        <v>2</v>
      </c>
      <c r="P117" s="247" t="s">
        <v>92</v>
      </c>
      <c r="Q117" s="263"/>
      <c r="R117" s="263"/>
      <c r="S117" s="263"/>
      <c r="T117" s="263"/>
      <c r="U117" s="263"/>
      <c r="V117" s="263"/>
      <c r="X117" s="264" t="str">
        <f t="shared" ref="X117:X132" si="8">IF(C117="sinapi","ok",IF(C117="orse","ok",IF(P117="título","título",IF(P117="intertítulo","intertítulo",""))))</f>
        <v/>
      </c>
    </row>
    <row r="118" spans="1:24" s="248" customFormat="1" ht="28.5" customHeight="1">
      <c r="A118" s="266" t="str">
        <f>IF(MID(N118,1,1)="R","RECUPERAR",VLOOKUP(N118,'auxiliar memoria'!$D$40:$E$47,2,FALSE))</f>
        <v>RECUPERAR</v>
      </c>
      <c r="B118" s="267" t="str">
        <f>IF(MID(N118,1,1)="R",VLOOKUP(O118,'auxiliar memoria'!$D$40:$E$47,2,FALSE),VLOOKUP(O118,'auxiliar memoria'!$G$122:$H$140,2,FALSE))</f>
        <v>CERÂMICA APARTIR DO PISO ATÉ 1,60M</v>
      </c>
      <c r="C118" s="256"/>
      <c r="D118" s="268" t="s">
        <v>116</v>
      </c>
      <c r="E118" s="269"/>
      <c r="F118" s="258"/>
      <c r="G118" s="259">
        <v>31.39</v>
      </c>
      <c r="H118" s="259"/>
      <c r="I118" s="259">
        <v>1.0699999999999998</v>
      </c>
      <c r="J118" s="259">
        <f t="shared" si="7"/>
        <v>33.587299999999999</v>
      </c>
      <c r="K118" s="260"/>
      <c r="L118" s="260"/>
      <c r="M118" s="261"/>
      <c r="N118" s="262" t="s">
        <v>368</v>
      </c>
      <c r="O118" s="263">
        <v>2</v>
      </c>
      <c r="P118" s="247" t="s">
        <v>92</v>
      </c>
      <c r="Q118" s="263"/>
      <c r="R118" s="263"/>
      <c r="S118" s="263"/>
      <c r="T118" s="263"/>
      <c r="U118" s="263"/>
      <c r="V118" s="263"/>
      <c r="X118" s="264" t="str">
        <f t="shared" si="8"/>
        <v/>
      </c>
    </row>
    <row r="119" spans="1:24" s="248" customFormat="1" ht="28.5" customHeight="1">
      <c r="A119" s="266" t="str">
        <f>IF(MID(N119,1,1)="R","RECUPERAR",VLOOKUP(N119,'auxiliar memoria'!$D$40:$E$47,2,FALSE))</f>
        <v>RECUPERAR</v>
      </c>
      <c r="B119" s="267" t="str">
        <f>IF(MID(N119,1,1)="R",VLOOKUP(O119,'auxiliar memoria'!$D$40:$E$47,2,FALSE),VLOOKUP(O119,'auxiliar memoria'!$G$122:$H$140,2,FALSE))</f>
        <v>CERÂMICA APARTIR DO PISO ATÉ 1,60M</v>
      </c>
      <c r="C119" s="256"/>
      <c r="D119" s="268" t="s">
        <v>176</v>
      </c>
      <c r="E119" s="259"/>
      <c r="F119" s="258"/>
      <c r="G119" s="259">
        <v>31.52</v>
      </c>
      <c r="H119" s="259"/>
      <c r="I119" s="259">
        <v>1.0699999999999998</v>
      </c>
      <c r="J119" s="259">
        <f t="shared" si="7"/>
        <v>33.726399999999991</v>
      </c>
      <c r="K119" s="260"/>
      <c r="L119" s="260"/>
      <c r="M119" s="261"/>
      <c r="N119" s="262" t="s">
        <v>368</v>
      </c>
      <c r="O119" s="263">
        <v>2</v>
      </c>
      <c r="P119" s="247" t="s">
        <v>92</v>
      </c>
      <c r="Q119" s="263"/>
      <c r="R119" s="263"/>
      <c r="S119" s="263"/>
      <c r="T119" s="263"/>
      <c r="U119" s="263"/>
      <c r="V119" s="263"/>
      <c r="X119" s="264" t="str">
        <f t="shared" si="8"/>
        <v/>
      </c>
    </row>
    <row r="120" spans="1:24" s="248" customFormat="1" ht="28.5" customHeight="1">
      <c r="A120" s="266" t="str">
        <f>IF(MID(N120,1,1)="R","RECUPERAR",VLOOKUP(N120,'auxiliar memoria'!$D$40:$E$47,2,FALSE))</f>
        <v>RECUPERAR</v>
      </c>
      <c r="B120" s="267" t="str">
        <f>IF(MID(N120,1,1)="R",VLOOKUP(O120,'auxiliar memoria'!$D$40:$E$47,2,FALSE),VLOOKUP(O120,'auxiliar memoria'!$G$122:$H$140,2,FALSE))</f>
        <v>CERÂMICA APARTIR DO PISO ATÉ 1,60M</v>
      </c>
      <c r="C120" s="256"/>
      <c r="D120" s="268" t="s">
        <v>175</v>
      </c>
      <c r="E120" s="259"/>
      <c r="F120" s="258"/>
      <c r="G120" s="259">
        <v>31.38</v>
      </c>
      <c r="H120" s="259"/>
      <c r="I120" s="259">
        <v>1.0699999999999998</v>
      </c>
      <c r="J120" s="259">
        <f t="shared" si="7"/>
        <v>33.576599999999992</v>
      </c>
      <c r="K120" s="260"/>
      <c r="L120" s="260"/>
      <c r="M120" s="261"/>
      <c r="N120" s="262" t="s">
        <v>368</v>
      </c>
      <c r="O120" s="263">
        <v>2</v>
      </c>
      <c r="P120" s="247" t="s">
        <v>92</v>
      </c>
      <c r="Q120" s="263"/>
      <c r="R120" s="263"/>
      <c r="S120" s="263"/>
      <c r="T120" s="263"/>
      <c r="U120" s="263"/>
      <c r="V120" s="263"/>
      <c r="X120" s="264" t="str">
        <f t="shared" si="8"/>
        <v/>
      </c>
    </row>
    <row r="121" spans="1:24" s="248" customFormat="1" ht="28.5" customHeight="1">
      <c r="A121" s="266" t="str">
        <f>IF(MID(N121,1,1)="R","RECUPERAR",VLOOKUP(N121,'auxiliar memoria'!$D$40:$E$47,2,FALSE))</f>
        <v>RECUPERAR</v>
      </c>
      <c r="B121" s="267" t="str">
        <f>IF(MID(N121,1,1)="R",VLOOKUP(O121,'auxiliar memoria'!$D$40:$E$47,2,FALSE),VLOOKUP(O121,'auxiliar memoria'!$G$122:$H$140,2,FALSE))</f>
        <v>CERÂMICA APARTIR DO PISO ATÉ 1,60M</v>
      </c>
      <c r="C121" s="256"/>
      <c r="D121" s="268" t="s">
        <v>174</v>
      </c>
      <c r="E121" s="269"/>
      <c r="F121" s="258"/>
      <c r="G121" s="259">
        <v>31.38</v>
      </c>
      <c r="H121" s="259"/>
      <c r="I121" s="259">
        <v>1.0699999999999998</v>
      </c>
      <c r="J121" s="259">
        <f t="shared" si="7"/>
        <v>33.576599999999992</v>
      </c>
      <c r="K121" s="260"/>
      <c r="L121" s="260"/>
      <c r="M121" s="261"/>
      <c r="N121" s="262" t="s">
        <v>368</v>
      </c>
      <c r="O121" s="263">
        <v>2</v>
      </c>
      <c r="P121" s="247" t="s">
        <v>92</v>
      </c>
      <c r="Q121" s="263"/>
      <c r="R121" s="263"/>
      <c r="S121" s="263"/>
      <c r="T121" s="263"/>
      <c r="U121" s="263"/>
      <c r="V121" s="263"/>
      <c r="X121" s="264" t="str">
        <f t="shared" si="8"/>
        <v/>
      </c>
    </row>
    <row r="122" spans="1:24" s="248" customFormat="1" ht="28.5" customHeight="1">
      <c r="A122" s="266" t="str">
        <f>IF(MID(N122,1,1)="R","RECUPERAR",VLOOKUP(N122,'auxiliar memoria'!$D$40:$E$47,2,FALSE))</f>
        <v>PINTURA</v>
      </c>
      <c r="B122" s="267" t="str">
        <f>IF(MID(N122,1,1)="R",VLOOKUP(O122,'auxiliar memoria'!$D$40:$E$47,2,FALSE),VLOOKUP(O122,'auxiliar memoria'!$G$122:$H$140,2,FALSE))</f>
        <v>Pastilha Cerâmica na composição 06.</v>
      </c>
      <c r="C122" s="256"/>
      <c r="D122" s="268" t="s">
        <v>121</v>
      </c>
      <c r="E122" s="259"/>
      <c r="F122" s="258"/>
      <c r="G122" s="259">
        <v>31.22</v>
      </c>
      <c r="H122" s="259"/>
      <c r="I122" s="259">
        <v>0.74999999999999978</v>
      </c>
      <c r="J122" s="259">
        <f t="shared" si="7"/>
        <v>23.414999999999992</v>
      </c>
      <c r="K122" s="260"/>
      <c r="L122" s="260"/>
      <c r="M122" s="261"/>
      <c r="N122" s="262">
        <v>1</v>
      </c>
      <c r="O122" s="263">
        <v>6</v>
      </c>
      <c r="P122" s="247" t="s">
        <v>92</v>
      </c>
      <c r="Q122" s="263"/>
      <c r="R122" s="263"/>
      <c r="S122" s="263"/>
      <c r="T122" s="263"/>
      <c r="U122" s="263"/>
      <c r="V122" s="263"/>
      <c r="X122" s="264" t="str">
        <f t="shared" si="8"/>
        <v/>
      </c>
    </row>
    <row r="123" spans="1:24" s="248" customFormat="1" ht="28.5" customHeight="1">
      <c r="A123" s="266" t="str">
        <f>IF(MID(N123,1,1)="R","RECUPERAR",VLOOKUP(N123,'auxiliar memoria'!$D$40:$E$47,2,FALSE))</f>
        <v>PINTURA</v>
      </c>
      <c r="B123" s="267" t="str">
        <f>IF(MID(N123,1,1)="R",VLOOKUP(O123,'auxiliar memoria'!$D$40:$E$47,2,FALSE),VLOOKUP(O123,'auxiliar memoria'!$G$122:$H$140,2,FALSE))</f>
        <v>Pastilha Cerâmica na composição 06.</v>
      </c>
      <c r="C123" s="256"/>
      <c r="D123" s="268" t="s">
        <v>354</v>
      </c>
      <c r="E123" s="259"/>
      <c r="F123" s="258"/>
      <c r="G123" s="259">
        <v>18.22</v>
      </c>
      <c r="H123" s="259"/>
      <c r="I123" s="259">
        <v>0.74999999999999978</v>
      </c>
      <c r="J123" s="259">
        <f t="shared" si="7"/>
        <v>13.664999999999996</v>
      </c>
      <c r="K123" s="260"/>
      <c r="L123" s="260"/>
      <c r="M123" s="261"/>
      <c r="N123" s="262">
        <v>1</v>
      </c>
      <c r="O123" s="263">
        <v>6</v>
      </c>
      <c r="P123" s="247" t="s">
        <v>92</v>
      </c>
      <c r="Q123" s="263"/>
      <c r="R123" s="263"/>
      <c r="S123" s="263"/>
      <c r="T123" s="263"/>
      <c r="U123" s="263"/>
      <c r="V123" s="263"/>
      <c r="X123" s="264" t="str">
        <f t="shared" si="8"/>
        <v/>
      </c>
    </row>
    <row r="124" spans="1:24" s="248" customFormat="1" ht="28.5" customHeight="1">
      <c r="A124" s="266" t="str">
        <f>IF(MID(N124,1,1)="R","RECUPERAR",VLOOKUP(N124,'auxiliar memoria'!$D$40:$E$47,2,FALSE))</f>
        <v>PINTURA</v>
      </c>
      <c r="B124" s="267" t="str">
        <f>IF(MID(N124,1,1)="R",VLOOKUP(O124,'auxiliar memoria'!$D$40:$E$47,2,FALSE),VLOOKUP(O124,'auxiliar memoria'!$G$122:$H$140,2,FALSE))</f>
        <v>Pastilha Cerâmica na composição 06.</v>
      </c>
      <c r="C124" s="256"/>
      <c r="D124" s="268" t="s">
        <v>355</v>
      </c>
      <c r="E124" s="269"/>
      <c r="F124" s="258"/>
      <c r="G124" s="259">
        <v>19.46</v>
      </c>
      <c r="H124" s="259"/>
      <c r="I124" s="259">
        <v>0.74999999999999978</v>
      </c>
      <c r="J124" s="259">
        <f t="shared" si="7"/>
        <v>14.594999999999997</v>
      </c>
      <c r="K124" s="260"/>
      <c r="L124" s="260"/>
      <c r="M124" s="261"/>
      <c r="N124" s="262">
        <v>1</v>
      </c>
      <c r="O124" s="263">
        <v>6</v>
      </c>
      <c r="P124" s="247" t="s">
        <v>92</v>
      </c>
      <c r="Q124" s="263"/>
      <c r="R124" s="263"/>
      <c r="S124" s="263"/>
      <c r="T124" s="263"/>
      <c r="U124" s="263"/>
      <c r="V124" s="263"/>
      <c r="X124" s="264" t="str">
        <f t="shared" si="8"/>
        <v/>
      </c>
    </row>
    <row r="125" spans="1:24" s="248" customFormat="1" ht="28.5" customHeight="1">
      <c r="A125" s="266" t="str">
        <f>IF(MID(N125,1,1)="R","RECUPERAR",VLOOKUP(N125,'auxiliar memoria'!$D$40:$E$47,2,FALSE))</f>
        <v>PINTURA</v>
      </c>
      <c r="B125" s="267" t="str">
        <f>IF(MID(N125,1,1)="R",VLOOKUP(O125,'auxiliar memoria'!$D$40:$E$47,2,FALSE),VLOOKUP(O125,'auxiliar memoria'!$G$122:$H$140,2,FALSE))</f>
        <v>Pastilha Cerâmica na composição 06.</v>
      </c>
      <c r="C125" s="256"/>
      <c r="D125" s="268" t="s">
        <v>356</v>
      </c>
      <c r="E125" s="259"/>
      <c r="F125" s="258"/>
      <c r="G125" s="259">
        <v>18.22</v>
      </c>
      <c r="H125" s="259"/>
      <c r="I125" s="259">
        <v>0.74999999999999978</v>
      </c>
      <c r="J125" s="259">
        <f t="shared" si="7"/>
        <v>13.664999999999996</v>
      </c>
      <c r="K125" s="260"/>
      <c r="L125" s="260"/>
      <c r="M125" s="261"/>
      <c r="N125" s="262">
        <v>1</v>
      </c>
      <c r="O125" s="263">
        <v>6</v>
      </c>
      <c r="P125" s="247" t="s">
        <v>92</v>
      </c>
      <c r="Q125" s="263"/>
      <c r="R125" s="263"/>
      <c r="S125" s="263"/>
      <c r="T125" s="263"/>
      <c r="U125" s="263"/>
      <c r="V125" s="263"/>
      <c r="X125" s="264" t="str">
        <f t="shared" si="8"/>
        <v/>
      </c>
    </row>
    <row r="126" spans="1:24" s="248" customFormat="1" ht="28.5" customHeight="1">
      <c r="A126" s="266" t="str">
        <f>IF(MID(N126,1,1)="R","RECUPERAR",VLOOKUP(N126,'auxiliar memoria'!$D$40:$E$47,2,FALSE))</f>
        <v>PINTURA</v>
      </c>
      <c r="B126" s="267" t="str">
        <f>IF(MID(N126,1,1)="R",VLOOKUP(O126,'auxiliar memoria'!$D$40:$E$47,2,FALSE),VLOOKUP(O126,'auxiliar memoria'!$G$122:$H$140,2,FALSE))</f>
        <v>Pastilha Cerâmica na composição 06.</v>
      </c>
      <c r="C126" s="256"/>
      <c r="D126" s="268" t="s">
        <v>357</v>
      </c>
      <c r="E126" s="269"/>
      <c r="F126" s="258"/>
      <c r="G126" s="259">
        <v>19.440000000000001</v>
      </c>
      <c r="H126" s="259"/>
      <c r="I126" s="259">
        <v>0.74999999999999978</v>
      </c>
      <c r="J126" s="259">
        <f t="shared" si="7"/>
        <v>14.579999999999997</v>
      </c>
      <c r="K126" s="260"/>
      <c r="L126" s="260"/>
      <c r="M126" s="261"/>
      <c r="N126" s="262">
        <v>1</v>
      </c>
      <c r="O126" s="263">
        <v>6</v>
      </c>
      <c r="P126" s="247" t="s">
        <v>92</v>
      </c>
      <c r="Q126" s="263"/>
      <c r="R126" s="263"/>
      <c r="S126" s="263"/>
      <c r="T126" s="263"/>
      <c r="U126" s="263"/>
      <c r="V126" s="263"/>
      <c r="X126" s="264" t="str">
        <f t="shared" si="8"/>
        <v/>
      </c>
    </row>
    <row r="127" spans="1:24" s="248" customFormat="1" ht="28.5" customHeight="1">
      <c r="A127" s="266" t="str">
        <f>IF(MID(N127,1,1)="R","RECUPERAR",VLOOKUP(N127,'auxiliar memoria'!$D$40:$E$47,2,FALSE))</f>
        <v>RECUPERAR</v>
      </c>
      <c r="B127" s="267" t="str">
        <f>IF(MID(N127,1,1)="R",VLOOKUP(O127,'auxiliar memoria'!$D$40:$E$47,2,FALSE),VLOOKUP(O127,'auxiliar memoria'!$G$122:$H$140,2,FALSE))</f>
        <v>CERÂMICA APARTIR DO PISO ATÉ 1,60M</v>
      </c>
      <c r="C127" s="256"/>
      <c r="D127" s="268" t="s">
        <v>358</v>
      </c>
      <c r="E127" s="269"/>
      <c r="F127" s="258"/>
      <c r="G127" s="259">
        <v>6.73</v>
      </c>
      <c r="H127" s="259"/>
      <c r="I127" s="259">
        <v>0.94999999999999973</v>
      </c>
      <c r="J127" s="259">
        <f t="shared" si="7"/>
        <v>6.3934999999999986</v>
      </c>
      <c r="K127" s="260"/>
      <c r="L127" s="260"/>
      <c r="M127" s="261"/>
      <c r="N127" s="262" t="s">
        <v>368</v>
      </c>
      <c r="O127" s="263">
        <v>2</v>
      </c>
      <c r="P127" s="247" t="s">
        <v>92</v>
      </c>
      <c r="Q127" s="263"/>
      <c r="R127" s="263"/>
      <c r="S127" s="263"/>
      <c r="T127" s="263"/>
      <c r="U127" s="263"/>
      <c r="V127" s="263"/>
      <c r="X127" s="264" t="str">
        <f t="shared" si="8"/>
        <v/>
      </c>
    </row>
    <row r="128" spans="1:24" s="248" customFormat="1" ht="28.5" customHeight="1">
      <c r="A128" s="266" t="str">
        <f>IF(MID(N128,1,1)="R","RECUPERAR",VLOOKUP(N128,'auxiliar memoria'!$D$40:$E$47,2,FALSE))</f>
        <v>RECUPERAR</v>
      </c>
      <c r="B128" s="267" t="str">
        <f>IF(MID(N128,1,1)="R",VLOOKUP(O128,'auxiliar memoria'!$D$40:$E$47,2,FALSE),VLOOKUP(O128,'auxiliar memoria'!$G$122:$H$140,2,FALSE))</f>
        <v>CERÂMICA APARTIR DO PISO ATÉ 1,60M</v>
      </c>
      <c r="C128" s="256"/>
      <c r="D128" s="268" t="s">
        <v>359</v>
      </c>
      <c r="E128" s="269"/>
      <c r="F128" s="258"/>
      <c r="G128" s="259">
        <v>6.87</v>
      </c>
      <c r="H128" s="259"/>
      <c r="I128" s="259">
        <v>0.94999999999999973</v>
      </c>
      <c r="J128" s="259">
        <f t="shared" si="7"/>
        <v>6.5264999999999986</v>
      </c>
      <c r="K128" s="260"/>
      <c r="L128" s="260"/>
      <c r="M128" s="261"/>
      <c r="N128" s="262" t="s">
        <v>368</v>
      </c>
      <c r="O128" s="263">
        <v>2</v>
      </c>
      <c r="P128" s="247" t="s">
        <v>92</v>
      </c>
      <c r="Q128" s="263"/>
      <c r="R128" s="263"/>
      <c r="S128" s="263"/>
      <c r="T128" s="263"/>
      <c r="U128" s="263"/>
      <c r="V128" s="263"/>
      <c r="X128" s="264" t="str">
        <f t="shared" si="8"/>
        <v/>
      </c>
    </row>
    <row r="129" spans="1:24" s="248" customFormat="1" ht="28.5" customHeight="1">
      <c r="A129" s="266" t="str">
        <f>IF(MID(N129,1,1)="R","RECUPERAR",VLOOKUP(N129,'auxiliar memoria'!$D$40:$E$47,2,FALSE))</f>
        <v>PINTURA</v>
      </c>
      <c r="B129" s="267" t="str">
        <f>IF(MID(N129,1,1)="R",VLOOKUP(O129,'auxiliar memoria'!$D$40:$E$47,2,FALSE),VLOOKUP(O129,'auxiliar memoria'!$G$122:$H$140,2,FALSE))</f>
        <v>Pastilha Cerâmica na composição 01 até 1,80m</v>
      </c>
      <c r="C129" s="256"/>
      <c r="D129" s="268" t="s">
        <v>360</v>
      </c>
      <c r="E129" s="259"/>
      <c r="F129" s="258"/>
      <c r="G129" s="259">
        <v>25.07</v>
      </c>
      <c r="H129" s="270"/>
      <c r="I129" s="259">
        <v>0.74999999999999978</v>
      </c>
      <c r="J129" s="259">
        <f t="shared" si="7"/>
        <v>18.802499999999995</v>
      </c>
      <c r="K129" s="260"/>
      <c r="L129" s="260"/>
      <c r="M129" s="261"/>
      <c r="N129" s="262">
        <v>1</v>
      </c>
      <c r="O129" s="263">
        <v>1</v>
      </c>
      <c r="P129" s="247" t="s">
        <v>92</v>
      </c>
      <c r="Q129" s="263"/>
      <c r="R129" s="263"/>
      <c r="S129" s="263"/>
      <c r="T129" s="263"/>
      <c r="U129" s="263"/>
      <c r="V129" s="263"/>
      <c r="X129" s="264" t="str">
        <f t="shared" si="8"/>
        <v/>
      </c>
    </row>
    <row r="130" spans="1:24" s="248" customFormat="1" ht="28.5" customHeight="1">
      <c r="A130" s="266" t="str">
        <f>IF(MID(N130,1,1)="R","RECUPERAR",VLOOKUP(N130,'auxiliar memoria'!$D$40:$E$47,2,FALSE))</f>
        <v>RECUPERAR</v>
      </c>
      <c r="B130" s="267" t="str">
        <f>IF(MID(N130,1,1)="R",VLOOKUP(O130,'auxiliar memoria'!$D$40:$E$47,2,FALSE),VLOOKUP(O130,'auxiliar memoria'!$G$122:$H$140,2,FALSE))</f>
        <v>CERÂMICA APARTIR DO PISO ATÉ 1,60M</v>
      </c>
      <c r="C130" s="256"/>
      <c r="D130" s="268" t="s">
        <v>365</v>
      </c>
      <c r="E130" s="259"/>
      <c r="F130" s="258"/>
      <c r="G130" s="259">
        <v>128.55000000000001</v>
      </c>
      <c r="H130" s="271"/>
      <c r="I130" s="259">
        <v>2.0499999999999998</v>
      </c>
      <c r="J130" s="259">
        <f t="shared" si="7"/>
        <v>263.52749999999997</v>
      </c>
      <c r="K130" s="260"/>
      <c r="L130" s="260"/>
      <c r="M130" s="261"/>
      <c r="N130" s="262" t="s">
        <v>368</v>
      </c>
      <c r="O130" s="263">
        <v>2</v>
      </c>
      <c r="P130" s="247" t="s">
        <v>92</v>
      </c>
      <c r="Q130" s="263"/>
      <c r="R130" s="263"/>
      <c r="S130" s="263"/>
      <c r="T130" s="263"/>
      <c r="U130" s="263"/>
      <c r="V130" s="263"/>
      <c r="X130" s="264" t="str">
        <f t="shared" si="8"/>
        <v/>
      </c>
    </row>
    <row r="131" spans="1:24" s="248" customFormat="1" ht="28.5" customHeight="1">
      <c r="A131" s="266" t="str">
        <f>IF(MID(N131,1,1)="R","RECUPERAR",VLOOKUP(N131,'auxiliar memoria'!$D$40:$E$47,2,FALSE))</f>
        <v>CERÂMICA APARTIR DO PISO ATÉ 1,60M</v>
      </c>
      <c r="B131" s="267" t="str">
        <f>IF(MID(N131,1,1)="R",VLOOKUP(O131,'auxiliar memoria'!$D$40:$E$47,2,FALSE),VLOOKUP(O131,'auxiliar memoria'!$G$122:$H$140,2,FALSE))</f>
        <v>Pintura acrílica na cor branco neve</v>
      </c>
      <c r="C131" s="256"/>
      <c r="D131" s="268" t="s">
        <v>179</v>
      </c>
      <c r="E131" s="257"/>
      <c r="F131" s="258"/>
      <c r="G131" s="259">
        <v>17.7</v>
      </c>
      <c r="H131" s="259"/>
      <c r="I131" s="259">
        <v>2.5499999999999998</v>
      </c>
      <c r="J131" s="259">
        <f t="shared" si="7"/>
        <v>45.134999999999998</v>
      </c>
      <c r="K131" s="260"/>
      <c r="L131" s="260"/>
      <c r="M131" s="261"/>
      <c r="N131" s="262">
        <v>2</v>
      </c>
      <c r="O131" s="263">
        <v>7</v>
      </c>
      <c r="P131" s="247" t="s">
        <v>92</v>
      </c>
      <c r="Q131" s="263"/>
      <c r="R131" s="263"/>
      <c r="S131" s="263"/>
      <c r="T131" s="263"/>
      <c r="U131" s="263"/>
      <c r="V131" s="263"/>
      <c r="X131" s="264" t="str">
        <f t="shared" si="8"/>
        <v/>
      </c>
    </row>
    <row r="132" spans="1:24" s="248" customFormat="1" ht="28.5" customHeight="1">
      <c r="A132" s="266" t="str">
        <f>IF(MID(N132,1,1)="R","RECUPERAR",VLOOKUP(N132,'auxiliar memoria'!$D$40:$E$47,2,FALSE))</f>
        <v>CERÂMICA APARTIR DO PISO ATÉ 1,60M</v>
      </c>
      <c r="B132" s="267" t="str">
        <f>IF(MID(N132,1,1)="R",VLOOKUP(O132,'auxiliar memoria'!$D$40:$E$47,2,FALSE),VLOOKUP(O132,'auxiliar memoria'!$G$122:$H$140,2,FALSE))</f>
        <v>Pastilha Cerâmica na composição 01 até 1,80m</v>
      </c>
      <c r="C132" s="256"/>
      <c r="D132" s="268" t="s">
        <v>362</v>
      </c>
      <c r="E132" s="269"/>
      <c r="F132" s="258"/>
      <c r="G132" s="259">
        <v>13.99</v>
      </c>
      <c r="H132" s="259"/>
      <c r="I132" s="259">
        <v>0.74999999999999978</v>
      </c>
      <c r="J132" s="259">
        <f t="shared" si="7"/>
        <v>10.492499999999998</v>
      </c>
      <c r="K132" s="260"/>
      <c r="L132" s="260"/>
      <c r="M132" s="261"/>
      <c r="N132" s="262">
        <v>2</v>
      </c>
      <c r="O132" s="263">
        <v>1</v>
      </c>
      <c r="P132" s="247" t="s">
        <v>92</v>
      </c>
      <c r="Q132" s="263"/>
      <c r="R132" s="263"/>
      <c r="S132" s="263"/>
      <c r="T132" s="263"/>
      <c r="U132" s="263"/>
      <c r="V132" s="263"/>
      <c r="X132" s="264" t="str">
        <f t="shared" si="8"/>
        <v/>
      </c>
    </row>
    <row r="133" spans="1:24" s="248" customFormat="1" ht="28.5" customHeight="1">
      <c r="A133" s="266" t="str">
        <f>IF(MID(N133,1,1)="R","RECUPERAR",VLOOKUP(N133,'auxiliar memoria'!$D$40:$E$47,2,FALSE))</f>
        <v>PINTURA</v>
      </c>
      <c r="B133" s="267" t="str">
        <f>IF(MID(N133,1,1)="R",VLOOKUP(O133,'auxiliar memoria'!$D$40:$E$47,2,FALSE),VLOOKUP(O133,'auxiliar memoria'!$G$122:$H$140,2,FALSE))</f>
        <v>Pintura acrílica na cor branco neve</v>
      </c>
      <c r="C133" s="256"/>
      <c r="D133" s="297" t="s">
        <v>366</v>
      </c>
      <c r="E133" s="259"/>
      <c r="F133" s="258"/>
      <c r="G133" s="259"/>
      <c r="H133" s="270"/>
      <c r="I133" s="259"/>
      <c r="J133" s="259"/>
      <c r="K133" s="260"/>
      <c r="L133" s="260"/>
      <c r="M133" s="261"/>
      <c r="N133" s="262">
        <v>1</v>
      </c>
      <c r="O133" s="263">
        <v>7</v>
      </c>
      <c r="P133" s="247" t="s">
        <v>92</v>
      </c>
      <c r="Q133" s="263"/>
      <c r="R133" s="263"/>
      <c r="S133" s="263"/>
      <c r="T133" s="263"/>
      <c r="U133" s="263"/>
      <c r="V133" s="263"/>
      <c r="X133" s="264" t="str">
        <f t="shared" ref="X133:X141" si="9">IF(C133="sinapi","ok",IF(C133="orse","ok",IF(P133="título","título",IF(P133="intertítulo","intertítulo",""))))</f>
        <v/>
      </c>
    </row>
    <row r="134" spans="1:24" s="248" customFormat="1" ht="28.5" customHeight="1">
      <c r="A134" s="266" t="str">
        <f>IF(MID(N134,1,1)="R","RECUPERAR",VLOOKUP(N134,'auxiliar memoria'!$D$40:$E$47,2,FALSE))</f>
        <v>PINTURA</v>
      </c>
      <c r="B134" s="267" t="str">
        <f>IF(MID(N134,1,1)="R",VLOOKUP(O134,'auxiliar memoria'!$D$40:$E$47,2,FALSE),VLOOKUP(O134,'auxiliar memoria'!$G$122:$H$140,2,FALSE))</f>
        <v>Pintura acrílica na cor branco neve</v>
      </c>
      <c r="C134" s="256"/>
      <c r="D134" s="268" t="s">
        <v>385</v>
      </c>
      <c r="E134" s="259"/>
      <c r="F134" s="258"/>
      <c r="G134" s="259">
        <v>6</v>
      </c>
      <c r="H134" s="270"/>
      <c r="I134" s="259">
        <v>3.43</v>
      </c>
      <c r="J134" s="259">
        <f>I134*G134</f>
        <v>20.580000000000002</v>
      </c>
      <c r="K134" s="260"/>
      <c r="L134" s="260"/>
      <c r="M134" s="261"/>
      <c r="N134" s="262">
        <v>1</v>
      </c>
      <c r="O134" s="263">
        <v>7</v>
      </c>
      <c r="P134" s="247" t="s">
        <v>92</v>
      </c>
      <c r="Q134" s="263"/>
      <c r="R134" s="263"/>
      <c r="S134" s="263"/>
      <c r="T134" s="263"/>
      <c r="U134" s="263"/>
      <c r="V134" s="263"/>
      <c r="X134" s="264" t="str">
        <f t="shared" si="9"/>
        <v/>
      </c>
    </row>
    <row r="135" spans="1:24" s="248" customFormat="1" ht="28.5" customHeight="1">
      <c r="A135" s="266" t="str">
        <f>IF(MID(N135,1,1)="R","RECUPERAR",VLOOKUP(N135,'auxiliar memoria'!$D$40:$E$47,2,FALSE))</f>
        <v>PINTURA</v>
      </c>
      <c r="B135" s="267" t="str">
        <f>IF(MID(N135,1,1)="R",VLOOKUP(O135,'auxiliar memoria'!$D$40:$E$47,2,FALSE),VLOOKUP(O135,'auxiliar memoria'!$G$122:$H$140,2,FALSE))</f>
        <v>Pintura acrílica na cor branco neve</v>
      </c>
      <c r="C135" s="256"/>
      <c r="D135" s="268" t="s">
        <v>384</v>
      </c>
      <c r="E135" s="259"/>
      <c r="F135" s="258"/>
      <c r="G135" s="259">
        <v>10.16</v>
      </c>
      <c r="H135" s="270"/>
      <c r="I135" s="259">
        <v>3.43</v>
      </c>
      <c r="J135" s="259">
        <f>I135*G135</f>
        <v>34.848800000000004</v>
      </c>
      <c r="K135" s="260"/>
      <c r="L135" s="260"/>
      <c r="M135" s="261"/>
      <c r="N135" s="262">
        <v>1</v>
      </c>
      <c r="O135" s="263">
        <v>7</v>
      </c>
      <c r="P135" s="247" t="s">
        <v>92</v>
      </c>
      <c r="Q135" s="263"/>
      <c r="R135" s="263"/>
      <c r="S135" s="263"/>
      <c r="T135" s="263"/>
      <c r="U135" s="263"/>
      <c r="V135" s="263"/>
      <c r="X135" s="264" t="str">
        <f t="shared" si="9"/>
        <v/>
      </c>
    </row>
    <row r="136" spans="1:24" s="248" customFormat="1" ht="28.5" customHeight="1">
      <c r="A136" s="266" t="str">
        <f>IF(MID(N136,1,1)="R","RECUPERAR",VLOOKUP(N136,'auxiliar memoria'!$D$40:$E$47,2,FALSE))</f>
        <v>PINTURA</v>
      </c>
      <c r="B136" s="267" t="str">
        <f>IF(MID(N136,1,1)="R",VLOOKUP(O136,'auxiliar memoria'!$D$40:$E$47,2,FALSE),VLOOKUP(O136,'auxiliar memoria'!$G$122:$H$140,2,FALSE))</f>
        <v>Pintura acrílica na cor branco neve</v>
      </c>
      <c r="C136" s="256"/>
      <c r="D136" s="268" t="s">
        <v>386</v>
      </c>
      <c r="E136" s="259"/>
      <c r="F136" s="258"/>
      <c r="G136" s="259">
        <v>4.82</v>
      </c>
      <c r="H136" s="270"/>
      <c r="I136" s="259">
        <v>4.43</v>
      </c>
      <c r="J136" s="259">
        <f>I136*G136</f>
        <v>21.352599999999999</v>
      </c>
      <c r="K136" s="260"/>
      <c r="L136" s="260"/>
      <c r="M136" s="261"/>
      <c r="N136" s="262">
        <v>1</v>
      </c>
      <c r="O136" s="263">
        <v>7</v>
      </c>
      <c r="P136" s="247" t="s">
        <v>92</v>
      </c>
      <c r="Q136" s="263"/>
      <c r="R136" s="263"/>
      <c r="S136" s="263"/>
      <c r="T136" s="263"/>
      <c r="U136" s="263"/>
      <c r="V136" s="263"/>
      <c r="X136" s="264" t="str">
        <f t="shared" si="9"/>
        <v/>
      </c>
    </row>
    <row r="137" spans="1:24" s="248" customFormat="1" ht="28.5" customHeight="1">
      <c r="A137" s="266" t="str">
        <f>IF(MID(N137,1,1)="R","RECUPERAR",VLOOKUP(N137,'auxiliar memoria'!$D$40:$E$47,2,FALSE))</f>
        <v>PINTURA</v>
      </c>
      <c r="B137" s="267" t="str">
        <f>IF(MID(N137,1,1)="R",VLOOKUP(O137,'auxiliar memoria'!$D$40:$E$47,2,FALSE),VLOOKUP(O137,'auxiliar memoria'!$G$122:$H$140,2,FALSE))</f>
        <v>Pintura acrílica na cor branco neve</v>
      </c>
      <c r="C137" s="256"/>
      <c r="D137" s="268" t="s">
        <v>382</v>
      </c>
      <c r="E137" s="259"/>
      <c r="F137" s="258"/>
      <c r="G137" s="259">
        <v>4</v>
      </c>
      <c r="H137" s="270"/>
      <c r="I137" s="259">
        <v>3.1</v>
      </c>
      <c r="J137" s="259">
        <f>I137*G137</f>
        <v>12.4</v>
      </c>
      <c r="K137" s="260"/>
      <c r="L137" s="260"/>
      <c r="M137" s="261"/>
      <c r="N137" s="262">
        <v>1</v>
      </c>
      <c r="O137" s="263">
        <v>7</v>
      </c>
      <c r="P137" s="247" t="s">
        <v>92</v>
      </c>
      <c r="Q137" s="263"/>
      <c r="R137" s="263"/>
      <c r="S137" s="263"/>
      <c r="T137" s="263"/>
      <c r="U137" s="263"/>
      <c r="V137" s="263"/>
      <c r="X137" s="264" t="str">
        <f t="shared" si="9"/>
        <v/>
      </c>
    </row>
    <row r="138" spans="1:24" s="248" customFormat="1" ht="28.5" customHeight="1">
      <c r="A138" s="266" t="str">
        <f>IF(MID(N138,1,1)="R","RECUPERAR",VLOOKUP(N138,'auxiliar memoria'!$D$40:$E$47,2,FALSE))</f>
        <v>PINTURA</v>
      </c>
      <c r="B138" s="267" t="str">
        <f>IF(MID(N138,1,1)="R",VLOOKUP(O138,'auxiliar memoria'!$D$40:$E$47,2,FALSE),VLOOKUP(O138,'auxiliar memoria'!$G$122:$H$140,2,FALSE))</f>
        <v>Pintura acrílica na cor branco neve</v>
      </c>
      <c r="C138" s="256"/>
      <c r="D138" s="268" t="s">
        <v>383</v>
      </c>
      <c r="E138" s="259"/>
      <c r="F138" s="258"/>
      <c r="G138" s="259">
        <v>24.68</v>
      </c>
      <c r="H138" s="270"/>
      <c r="I138" s="259">
        <v>3.07</v>
      </c>
      <c r="J138" s="259">
        <f>I138*G138</f>
        <v>75.767600000000002</v>
      </c>
      <c r="K138" s="260"/>
      <c r="L138" s="260"/>
      <c r="M138" s="261"/>
      <c r="N138" s="262">
        <v>1</v>
      </c>
      <c r="O138" s="263">
        <v>7</v>
      </c>
      <c r="P138" s="247" t="s">
        <v>92</v>
      </c>
      <c r="Q138" s="263"/>
      <c r="R138" s="263"/>
      <c r="S138" s="263"/>
      <c r="T138" s="263"/>
      <c r="U138" s="263"/>
      <c r="V138" s="263"/>
      <c r="X138" s="264" t="str">
        <f t="shared" si="9"/>
        <v/>
      </c>
    </row>
    <row r="139" spans="1:24" s="248" customFormat="1" ht="28.5" customHeight="1">
      <c r="A139" s="266" t="str">
        <f>IF(MID(N139,1,1)="R","RECUPERAR",VLOOKUP(N139,'auxiliar memoria'!$D$40:$E$47,2,FALSE))</f>
        <v>PINTURA</v>
      </c>
      <c r="B139" s="267" t="str">
        <f>IF(MID(N139,1,1)="R",VLOOKUP(O139,'auxiliar memoria'!$D$40:$E$47,2,FALSE),VLOOKUP(O139,'auxiliar memoria'!$G$122:$H$140,2,FALSE))</f>
        <v>Pintura acrílica na cor branco neve</v>
      </c>
      <c r="C139" s="256"/>
      <c r="D139" s="297" t="s">
        <v>367</v>
      </c>
      <c r="E139" s="259"/>
      <c r="F139" s="258"/>
      <c r="G139" s="259"/>
      <c r="H139" s="270"/>
      <c r="I139" s="259"/>
      <c r="J139" s="259"/>
      <c r="K139" s="260"/>
      <c r="L139" s="260"/>
      <c r="M139" s="261"/>
      <c r="N139" s="262">
        <v>1</v>
      </c>
      <c r="O139" s="263">
        <v>7</v>
      </c>
      <c r="P139" s="247" t="s">
        <v>92</v>
      </c>
      <c r="Q139" s="263"/>
      <c r="R139" s="263"/>
      <c r="S139" s="263"/>
      <c r="T139" s="263"/>
      <c r="U139" s="263"/>
      <c r="V139" s="263"/>
      <c r="X139" s="264" t="str">
        <f t="shared" si="9"/>
        <v/>
      </c>
    </row>
    <row r="140" spans="1:24" s="248" customFormat="1" ht="28.5" customHeight="1">
      <c r="A140" s="266" t="str">
        <f>IF(MID(N140,1,1)="R","RECUPERAR",VLOOKUP(N140,'auxiliar memoria'!$D$40:$E$47,2,FALSE))</f>
        <v>PINTURA</v>
      </c>
      <c r="B140" s="267" t="str">
        <f>IF(MID(N140,1,1)="R",VLOOKUP(O140,'auxiliar memoria'!$D$40:$E$47,2,FALSE),VLOOKUP(O140,'auxiliar memoria'!$G$122:$H$140,2,FALSE))</f>
        <v>Pintura acrílica na cor branco neve</v>
      </c>
      <c r="C140" s="256"/>
      <c r="D140" s="268" t="s">
        <v>387</v>
      </c>
      <c r="E140" s="259"/>
      <c r="F140" s="258"/>
      <c r="G140" s="259">
        <v>47.94</v>
      </c>
      <c r="H140" s="270"/>
      <c r="I140" s="259">
        <v>2.79</v>
      </c>
      <c r="J140" s="259">
        <f>I140*G140</f>
        <v>133.7526</v>
      </c>
      <c r="K140" s="260"/>
      <c r="L140" s="260"/>
      <c r="M140" s="261"/>
      <c r="N140" s="262">
        <v>1</v>
      </c>
      <c r="O140" s="263">
        <v>7</v>
      </c>
      <c r="P140" s="247" t="s">
        <v>92</v>
      </c>
      <c r="Q140" s="263"/>
      <c r="R140" s="263"/>
      <c r="S140" s="263"/>
      <c r="T140" s="263"/>
      <c r="U140" s="263"/>
      <c r="V140" s="263"/>
      <c r="X140" s="264" t="str">
        <f t="shared" si="9"/>
        <v/>
      </c>
    </row>
    <row r="141" spans="1:24" s="248" customFormat="1" ht="28.5" customHeight="1">
      <c r="A141" s="266" t="str">
        <f>IF(MID(N141,1,1)="R","RECUPERAR",VLOOKUP(N141,'auxiliar memoria'!$D$40:$E$47,2,FALSE))</f>
        <v>PINTURA</v>
      </c>
      <c r="B141" s="267" t="str">
        <f>IF(MID(N141,1,1)="R",VLOOKUP(O141,'auxiliar memoria'!$D$40:$E$47,2,FALSE),VLOOKUP(O141,'auxiliar memoria'!$G$122:$H$140,2,FALSE))</f>
        <v>Pintura acrílica na cor branco neve</v>
      </c>
      <c r="C141" s="256"/>
      <c r="D141" s="268" t="s">
        <v>383</v>
      </c>
      <c r="E141" s="259"/>
      <c r="F141" s="258"/>
      <c r="G141" s="259">
        <f>51.99+3.49</f>
        <v>55.480000000000004</v>
      </c>
      <c r="H141" s="270"/>
      <c r="I141" s="259">
        <v>2.5499999999999998</v>
      </c>
      <c r="J141" s="259">
        <f>I141*G141</f>
        <v>141.47399999999999</v>
      </c>
      <c r="K141" s="260"/>
      <c r="L141" s="260"/>
      <c r="M141" s="261"/>
      <c r="N141" s="262">
        <v>1</v>
      </c>
      <c r="O141" s="263">
        <v>7</v>
      </c>
      <c r="P141" s="247" t="s">
        <v>92</v>
      </c>
      <c r="Q141" s="263"/>
      <c r="R141" s="263"/>
      <c r="S141" s="263"/>
      <c r="T141" s="263"/>
      <c r="U141" s="263"/>
      <c r="V141" s="263"/>
      <c r="X141" s="264" t="str">
        <f t="shared" si="9"/>
        <v/>
      </c>
    </row>
    <row r="143" spans="1:24" s="4" customFormat="1" ht="31.5">
      <c r="B143" s="230"/>
      <c r="D143" s="314" t="s">
        <v>96</v>
      </c>
      <c r="E143" s="314" t="s">
        <v>97</v>
      </c>
      <c r="F143" s="314" t="s">
        <v>98</v>
      </c>
      <c r="G143" s="314" t="s">
        <v>99</v>
      </c>
      <c r="H143" s="314" t="s">
        <v>100</v>
      </c>
      <c r="I143" s="314" t="s">
        <v>101</v>
      </c>
      <c r="J143" s="314" t="s">
        <v>102</v>
      </c>
      <c r="K143" s="314" t="s">
        <v>103</v>
      </c>
      <c r="L143" s="314" t="s">
        <v>104</v>
      </c>
      <c r="M143" s="314" t="s">
        <v>105</v>
      </c>
      <c r="N143" s="230"/>
    </row>
    <row r="144" spans="1:24" s="4" customFormat="1" ht="26.25">
      <c r="A144" s="312" t="s">
        <v>58</v>
      </c>
      <c r="B144" s="230"/>
      <c r="J144" s="283">
        <f>SUM(J145:J157)</f>
        <v>89.936000000000007</v>
      </c>
      <c r="N144" s="230"/>
    </row>
    <row r="145" spans="1:24" s="248" customFormat="1" ht="28.5" customHeight="1">
      <c r="A145" s="266"/>
      <c r="B145" s="267"/>
      <c r="C145" s="256"/>
      <c r="D145" s="268" t="s">
        <v>391</v>
      </c>
      <c r="E145" s="257"/>
      <c r="F145" s="258"/>
      <c r="G145" s="259">
        <f t="shared" ref="G145:G150" si="10">1.25+0.9</f>
        <v>2.15</v>
      </c>
      <c r="H145" s="259"/>
      <c r="I145" s="259">
        <v>1.6</v>
      </c>
      <c r="J145" s="259">
        <f>I145*G145</f>
        <v>3.44</v>
      </c>
      <c r="K145" s="260"/>
      <c r="L145" s="260"/>
      <c r="M145" s="261"/>
      <c r="N145" s="262" t="s">
        <v>368</v>
      </c>
      <c r="O145" s="263">
        <v>2</v>
      </c>
      <c r="P145" s="247"/>
      <c r="Q145" s="263" t="s">
        <v>317</v>
      </c>
      <c r="R145" s="263"/>
      <c r="S145" s="263"/>
      <c r="T145" s="263"/>
      <c r="U145" s="263"/>
      <c r="V145" s="263"/>
      <c r="X145" s="264"/>
    </row>
    <row r="146" spans="1:24" s="248" customFormat="1" ht="28.5" customHeight="1">
      <c r="A146" s="266"/>
      <c r="B146" s="267"/>
      <c r="C146" s="256"/>
      <c r="D146" s="268" t="s">
        <v>393</v>
      </c>
      <c r="E146" s="257"/>
      <c r="F146" s="258"/>
      <c r="G146" s="259">
        <f t="shared" si="10"/>
        <v>2.15</v>
      </c>
      <c r="H146" s="259"/>
      <c r="I146" s="259">
        <v>1.6</v>
      </c>
      <c r="J146" s="259">
        <f t="shared" ref="J146:J157" si="11">I146*G146</f>
        <v>3.44</v>
      </c>
      <c r="K146" s="260"/>
      <c r="L146" s="260"/>
      <c r="M146" s="261"/>
      <c r="N146" s="262" t="s">
        <v>368</v>
      </c>
      <c r="O146" s="263">
        <v>2</v>
      </c>
      <c r="P146" s="265"/>
      <c r="Q146" s="263"/>
      <c r="R146" s="263"/>
      <c r="S146" s="263"/>
      <c r="T146" s="263"/>
      <c r="U146" s="263"/>
      <c r="V146" s="263"/>
      <c r="X146" s="264"/>
    </row>
    <row r="147" spans="1:24" s="248" customFormat="1" ht="28.5" customHeight="1">
      <c r="A147" s="266"/>
      <c r="B147" s="267"/>
      <c r="C147" s="256"/>
      <c r="D147" s="268" t="s">
        <v>395</v>
      </c>
      <c r="E147" s="257"/>
      <c r="F147" s="258"/>
      <c r="G147" s="259">
        <f t="shared" si="10"/>
        <v>2.15</v>
      </c>
      <c r="H147" s="259"/>
      <c r="I147" s="259">
        <v>1.6</v>
      </c>
      <c r="J147" s="259">
        <f t="shared" si="11"/>
        <v>3.44</v>
      </c>
      <c r="K147" s="260"/>
      <c r="L147" s="260"/>
      <c r="M147" s="261"/>
      <c r="N147" s="262" t="s">
        <v>368</v>
      </c>
      <c r="O147" s="263">
        <v>2</v>
      </c>
      <c r="P147" s="247" t="s">
        <v>92</v>
      </c>
      <c r="Q147" s="263"/>
      <c r="R147" s="263"/>
      <c r="S147" s="263"/>
      <c r="T147" s="263"/>
      <c r="U147" s="263"/>
      <c r="V147" s="263"/>
      <c r="X147" s="264" t="str">
        <f>IF(C147="sinapi","ok",IF(C147="orse","ok",IF(P147="título","título",IF(P147="intertítulo","intertítulo",""))))</f>
        <v/>
      </c>
    </row>
    <row r="148" spans="1:24" s="248" customFormat="1" ht="23.25">
      <c r="A148" s="266"/>
      <c r="B148" s="267"/>
      <c r="C148" s="256"/>
      <c r="D148" s="268" t="s">
        <v>398</v>
      </c>
      <c r="E148" s="257"/>
      <c r="F148" s="258"/>
      <c r="G148" s="259">
        <f t="shared" si="10"/>
        <v>2.15</v>
      </c>
      <c r="H148" s="259"/>
      <c r="I148" s="259">
        <v>1.6</v>
      </c>
      <c r="J148" s="259">
        <f t="shared" si="11"/>
        <v>3.44</v>
      </c>
      <c r="K148" s="260"/>
      <c r="L148" s="260"/>
      <c r="M148" s="261"/>
      <c r="N148" s="262" t="s">
        <v>368</v>
      </c>
      <c r="O148" s="263">
        <v>2</v>
      </c>
      <c r="P148" s="247" t="s">
        <v>92</v>
      </c>
      <c r="Q148" s="263"/>
      <c r="R148" s="263"/>
      <c r="S148" s="263"/>
      <c r="T148" s="263"/>
      <c r="U148" s="263"/>
      <c r="V148" s="263"/>
      <c r="X148" s="264" t="str">
        <f>IF(C148="sinapi","ok",IF(C148="orse","ok",IF(P148="título","título",IF(P148="intertítulo","intertítulo",""))))</f>
        <v/>
      </c>
    </row>
    <row r="149" spans="1:24" s="248" customFormat="1" ht="28.5" customHeight="1">
      <c r="A149" s="266"/>
      <c r="B149" s="267"/>
      <c r="C149" s="256"/>
      <c r="D149" s="268" t="s">
        <v>400</v>
      </c>
      <c r="E149" s="257"/>
      <c r="F149" s="258"/>
      <c r="G149" s="259">
        <f t="shared" si="10"/>
        <v>2.15</v>
      </c>
      <c r="H149" s="259"/>
      <c r="I149" s="259">
        <v>1.6</v>
      </c>
      <c r="J149" s="259">
        <f t="shared" si="11"/>
        <v>3.44</v>
      </c>
      <c r="K149" s="260"/>
      <c r="L149" s="260"/>
      <c r="M149" s="261"/>
      <c r="N149" s="262" t="s">
        <v>368</v>
      </c>
      <c r="O149" s="263">
        <v>2</v>
      </c>
      <c r="P149" s="247" t="s">
        <v>92</v>
      </c>
      <c r="Q149" s="263"/>
      <c r="R149" s="263"/>
      <c r="S149" s="263"/>
      <c r="T149" s="263"/>
      <c r="U149" s="263"/>
      <c r="V149" s="263"/>
      <c r="X149" s="264" t="str">
        <f>IF(C149="sinapi","ok",IF(C149="orse","ok",IF(P149="título","título",IF(P149="intertítulo","intertítulo",""))))</f>
        <v/>
      </c>
    </row>
    <row r="150" spans="1:24" s="248" customFormat="1" ht="23.25">
      <c r="A150" s="266"/>
      <c r="B150" s="267"/>
      <c r="C150" s="256"/>
      <c r="D150" s="268" t="s">
        <v>402</v>
      </c>
      <c r="E150" s="257"/>
      <c r="F150" s="258"/>
      <c r="G150" s="259">
        <f t="shared" si="10"/>
        <v>2.15</v>
      </c>
      <c r="H150" s="259"/>
      <c r="I150" s="259">
        <v>1.6</v>
      </c>
      <c r="J150" s="259">
        <f t="shared" si="11"/>
        <v>3.44</v>
      </c>
      <c r="K150" s="260"/>
      <c r="L150" s="260"/>
      <c r="M150" s="261"/>
      <c r="N150" s="262" t="s">
        <v>368</v>
      </c>
      <c r="O150" s="263">
        <v>2</v>
      </c>
      <c r="P150" s="247" t="s">
        <v>92</v>
      </c>
      <c r="Q150" s="263"/>
      <c r="R150" s="263"/>
      <c r="S150" s="263"/>
      <c r="T150" s="263"/>
      <c r="U150" s="263"/>
      <c r="V150" s="263"/>
      <c r="X150" s="264" t="str">
        <f>IF(C150="sinapi","ok",IF(C150="orse","ok",IF(P150="título","título",IF(P150="intertítulo","intertítulo",""))))</f>
        <v/>
      </c>
    </row>
    <row r="151" spans="1:24" s="248" customFormat="1" ht="28.5" customHeight="1">
      <c r="A151" s="266"/>
      <c r="B151" s="267"/>
      <c r="C151" s="256"/>
      <c r="D151" s="268" t="s">
        <v>404</v>
      </c>
      <c r="E151" s="269"/>
      <c r="F151" s="258"/>
      <c r="G151" s="259">
        <f>1.25+0.88</f>
        <v>2.13</v>
      </c>
      <c r="H151" s="259"/>
      <c r="I151" s="259">
        <v>1.6</v>
      </c>
      <c r="J151" s="259">
        <f t="shared" si="11"/>
        <v>3.4079999999999999</v>
      </c>
      <c r="K151" s="260"/>
      <c r="L151" s="260"/>
      <c r="M151" s="261"/>
      <c r="N151" s="262" t="s">
        <v>368</v>
      </c>
      <c r="O151" s="263">
        <v>2</v>
      </c>
      <c r="P151" s="247" t="s">
        <v>92</v>
      </c>
      <c r="Q151" s="263"/>
      <c r="R151" s="263"/>
      <c r="S151" s="263"/>
      <c r="T151" s="263"/>
      <c r="U151" s="263"/>
      <c r="V151" s="263"/>
      <c r="X151" s="264" t="str">
        <f t="shared" ref="X151:X157" si="12">IF(C151="sinapi","ok",IF(C151="orse","ok",IF(P151="título","título",IF(P151="intertítulo","intertítulo",""))))</f>
        <v/>
      </c>
    </row>
    <row r="152" spans="1:24" s="248" customFormat="1" ht="28.5" customHeight="1">
      <c r="A152" s="266"/>
      <c r="B152" s="267"/>
      <c r="C152" s="256"/>
      <c r="D152" s="268" t="s">
        <v>406</v>
      </c>
      <c r="E152" s="269"/>
      <c r="F152" s="258"/>
      <c r="G152" s="259">
        <f>1.25+0.88</f>
        <v>2.13</v>
      </c>
      <c r="H152" s="259"/>
      <c r="I152" s="259">
        <v>1.6</v>
      </c>
      <c r="J152" s="259">
        <f t="shared" si="11"/>
        <v>3.4079999999999999</v>
      </c>
      <c r="K152" s="260"/>
      <c r="L152" s="260"/>
      <c r="M152" s="261"/>
      <c r="N152" s="262" t="s">
        <v>368</v>
      </c>
      <c r="O152" s="263">
        <v>2</v>
      </c>
      <c r="P152" s="247" t="s">
        <v>92</v>
      </c>
      <c r="Q152" s="263"/>
      <c r="R152" s="263"/>
      <c r="S152" s="263"/>
      <c r="T152" s="263"/>
      <c r="U152" s="263"/>
      <c r="V152" s="263"/>
      <c r="X152" s="264" t="str">
        <f t="shared" si="12"/>
        <v/>
      </c>
    </row>
    <row r="153" spans="1:24" s="248" customFormat="1" ht="28.5" customHeight="1">
      <c r="A153" s="266"/>
      <c r="B153" s="267"/>
      <c r="C153" s="256"/>
      <c r="D153" s="268" t="s">
        <v>408</v>
      </c>
      <c r="E153" s="259"/>
      <c r="F153" s="258"/>
      <c r="G153" s="259">
        <f>1.25+0.88</f>
        <v>2.13</v>
      </c>
      <c r="H153" s="259"/>
      <c r="I153" s="259">
        <v>1.6</v>
      </c>
      <c r="J153" s="259">
        <f t="shared" si="11"/>
        <v>3.4079999999999999</v>
      </c>
      <c r="K153" s="260"/>
      <c r="L153" s="260"/>
      <c r="M153" s="261"/>
      <c r="N153" s="262" t="s">
        <v>368</v>
      </c>
      <c r="O153" s="263">
        <v>2</v>
      </c>
      <c r="P153" s="247" t="s">
        <v>92</v>
      </c>
      <c r="Q153" s="263"/>
      <c r="R153" s="263"/>
      <c r="S153" s="263"/>
      <c r="T153" s="263"/>
      <c r="U153" s="263"/>
      <c r="V153" s="263"/>
      <c r="X153" s="264" t="str">
        <f t="shared" si="12"/>
        <v/>
      </c>
    </row>
    <row r="154" spans="1:24" s="248" customFormat="1" ht="26.25" customHeight="1">
      <c r="A154" s="266"/>
      <c r="B154" s="267"/>
      <c r="C154" s="256"/>
      <c r="D154" s="268" t="s">
        <v>410</v>
      </c>
      <c r="E154" s="259"/>
      <c r="F154" s="258"/>
      <c r="G154" s="259">
        <f>1.25+0.88</f>
        <v>2.13</v>
      </c>
      <c r="H154" s="259"/>
      <c r="I154" s="259">
        <v>1.6</v>
      </c>
      <c r="J154" s="259">
        <f t="shared" si="11"/>
        <v>3.4079999999999999</v>
      </c>
      <c r="K154" s="260"/>
      <c r="L154" s="260"/>
      <c r="M154" s="261"/>
      <c r="N154" s="262" t="s">
        <v>368</v>
      </c>
      <c r="O154" s="263">
        <v>2</v>
      </c>
      <c r="P154" s="247" t="s">
        <v>92</v>
      </c>
      <c r="Q154" s="263"/>
      <c r="R154" s="263"/>
      <c r="S154" s="263"/>
      <c r="T154" s="263"/>
      <c r="U154" s="263"/>
      <c r="V154" s="263"/>
      <c r="X154" s="264" t="str">
        <f t="shared" si="12"/>
        <v/>
      </c>
    </row>
    <row r="155" spans="1:24" s="248" customFormat="1" ht="28.5" customHeight="1">
      <c r="A155" s="266"/>
      <c r="B155" s="267"/>
      <c r="C155" s="256"/>
      <c r="D155" s="268" t="s">
        <v>412</v>
      </c>
      <c r="E155" s="269"/>
      <c r="F155" s="258"/>
      <c r="G155" s="259">
        <f>1.25+0.88</f>
        <v>2.13</v>
      </c>
      <c r="H155" s="259"/>
      <c r="I155" s="259">
        <v>1.6</v>
      </c>
      <c r="J155" s="259">
        <f t="shared" si="11"/>
        <v>3.4079999999999999</v>
      </c>
      <c r="K155" s="260"/>
      <c r="L155" s="260"/>
      <c r="M155" s="261"/>
      <c r="N155" s="262" t="s">
        <v>368</v>
      </c>
      <c r="O155" s="263">
        <v>2</v>
      </c>
      <c r="P155" s="247" t="s">
        <v>92</v>
      </c>
      <c r="Q155" s="263"/>
      <c r="R155" s="263"/>
      <c r="S155" s="263"/>
      <c r="T155" s="263"/>
      <c r="U155" s="263"/>
      <c r="V155" s="263"/>
      <c r="X155" s="264" t="str">
        <f t="shared" si="12"/>
        <v/>
      </c>
    </row>
    <row r="156" spans="1:24" s="248" customFormat="1" ht="28.5" customHeight="1">
      <c r="A156" s="266"/>
      <c r="B156" s="267"/>
      <c r="C156" s="256"/>
      <c r="D156" s="268" t="s">
        <v>414</v>
      </c>
      <c r="E156" s="259"/>
      <c r="F156" s="258"/>
      <c r="G156" s="259">
        <f>(0.73+1.1)*12</f>
        <v>21.96</v>
      </c>
      <c r="H156" s="271"/>
      <c r="I156" s="259">
        <f>IF(MID(N156,1,1)="r",1.6,IF(VLOOKUP(B156,'auxiliar memoria'!$H$122:$J$141,3,FALSE)="TETO",H156,VLOOKUP(B156,'auxiliar memoria'!$H$122:$J$141,3,FALSE)))</f>
        <v>1.6</v>
      </c>
      <c r="J156" s="259">
        <f t="shared" si="11"/>
        <v>35.136000000000003</v>
      </c>
      <c r="K156" s="260"/>
      <c r="L156" s="260"/>
      <c r="M156" s="261"/>
      <c r="N156" s="262" t="s">
        <v>368</v>
      </c>
      <c r="O156" s="263">
        <v>2</v>
      </c>
      <c r="P156" s="247" t="s">
        <v>92</v>
      </c>
      <c r="Q156" s="263"/>
      <c r="R156" s="263"/>
      <c r="S156" s="263"/>
      <c r="T156" s="263"/>
      <c r="U156" s="263"/>
      <c r="V156" s="263"/>
      <c r="X156" s="264" t="str">
        <f t="shared" si="12"/>
        <v/>
      </c>
    </row>
    <row r="157" spans="1:24" s="248" customFormat="1" ht="28.5" customHeight="1">
      <c r="A157" s="266"/>
      <c r="B157" s="267"/>
      <c r="C157" s="256"/>
      <c r="D157" s="268" t="s">
        <v>413</v>
      </c>
      <c r="E157" s="259"/>
      <c r="F157" s="258"/>
      <c r="G157" s="259">
        <f>2.15+2+1.2+2.15+2+1.2</f>
        <v>10.7</v>
      </c>
      <c r="H157" s="271"/>
      <c r="I157" s="259">
        <f>IF(MID(N157,1,1)="r",1.6,IF(VLOOKUP(B157,'auxiliar memoria'!$H$122:$J$141,3,FALSE)="TETO",H157,VLOOKUP(B157,'auxiliar memoria'!$H$122:$J$141,3,FALSE)))</f>
        <v>1.6</v>
      </c>
      <c r="J157" s="259">
        <f t="shared" si="11"/>
        <v>17.12</v>
      </c>
      <c r="K157" s="260"/>
      <c r="L157" s="260"/>
      <c r="M157" s="261"/>
      <c r="N157" s="262" t="s">
        <v>368</v>
      </c>
      <c r="O157" s="263">
        <v>2</v>
      </c>
      <c r="P157" s="247" t="s">
        <v>92</v>
      </c>
      <c r="Q157" s="263"/>
      <c r="R157" s="263"/>
      <c r="S157" s="263"/>
      <c r="T157" s="263"/>
      <c r="U157" s="263"/>
      <c r="V157" s="263"/>
      <c r="X157" s="264" t="str">
        <f t="shared" si="12"/>
        <v/>
      </c>
    </row>
    <row r="159" spans="1:24" s="4" customFormat="1" ht="26.25">
      <c r="A159" s="312" t="s">
        <v>59</v>
      </c>
      <c r="B159" s="230"/>
      <c r="J159" s="283">
        <f>SUM(J160:J172)</f>
        <v>75.566499999999991</v>
      </c>
      <c r="N159" s="230"/>
    </row>
    <row r="160" spans="1:24" s="248" customFormat="1" ht="28.5" customHeight="1">
      <c r="A160" s="266"/>
      <c r="B160" s="267"/>
      <c r="C160" s="256"/>
      <c r="D160" s="268" t="s">
        <v>391</v>
      </c>
      <c r="E160" s="257"/>
      <c r="F160" s="258"/>
      <c r="G160" s="259">
        <f t="shared" ref="G160:G165" si="13">1.25+0.9</f>
        <v>2.15</v>
      </c>
      <c r="H160" s="259"/>
      <c r="I160" s="259">
        <v>1.0699999999999998</v>
      </c>
      <c r="J160" s="259">
        <f>I160*G160</f>
        <v>2.3004999999999995</v>
      </c>
      <c r="K160" s="260"/>
      <c r="L160" s="260"/>
      <c r="M160" s="261"/>
      <c r="N160" s="262" t="s">
        <v>368</v>
      </c>
      <c r="O160" s="263">
        <v>2</v>
      </c>
      <c r="P160" s="247"/>
      <c r="Q160" s="263" t="s">
        <v>317</v>
      </c>
      <c r="R160" s="263"/>
      <c r="S160" s="263"/>
      <c r="T160" s="263"/>
      <c r="U160" s="263"/>
      <c r="V160" s="263"/>
      <c r="X160" s="264"/>
    </row>
    <row r="161" spans="1:24" s="248" customFormat="1" ht="28.5" customHeight="1">
      <c r="A161" s="266"/>
      <c r="B161" s="267"/>
      <c r="C161" s="256"/>
      <c r="D161" s="268" t="s">
        <v>393</v>
      </c>
      <c r="E161" s="257"/>
      <c r="F161" s="258"/>
      <c r="G161" s="259">
        <f t="shared" si="13"/>
        <v>2.15</v>
      </c>
      <c r="H161" s="259"/>
      <c r="I161" s="259">
        <v>1.0699999999999998</v>
      </c>
      <c r="J161" s="259">
        <f t="shared" ref="J161:J172" si="14">I161*G161</f>
        <v>2.3004999999999995</v>
      </c>
      <c r="K161" s="260"/>
      <c r="L161" s="260"/>
      <c r="M161" s="261"/>
      <c r="N161" s="262" t="s">
        <v>368</v>
      </c>
      <c r="O161" s="263">
        <v>2</v>
      </c>
      <c r="P161" s="265"/>
      <c r="Q161" s="263"/>
      <c r="R161" s="263"/>
      <c r="S161" s="263"/>
      <c r="T161" s="263"/>
      <c r="U161" s="263"/>
      <c r="V161" s="263"/>
      <c r="X161" s="264"/>
    </row>
    <row r="162" spans="1:24" s="248" customFormat="1" ht="28.5" customHeight="1">
      <c r="A162" s="266"/>
      <c r="B162" s="267"/>
      <c r="C162" s="256"/>
      <c r="D162" s="268" t="s">
        <v>395</v>
      </c>
      <c r="E162" s="257"/>
      <c r="F162" s="258"/>
      <c r="G162" s="259">
        <f t="shared" si="13"/>
        <v>2.15</v>
      </c>
      <c r="H162" s="259"/>
      <c r="I162" s="259">
        <v>1.0699999999999998</v>
      </c>
      <c r="J162" s="259">
        <f t="shared" si="14"/>
        <v>2.3004999999999995</v>
      </c>
      <c r="K162" s="260"/>
      <c r="L162" s="260"/>
      <c r="M162" s="261"/>
      <c r="N162" s="262" t="s">
        <v>368</v>
      </c>
      <c r="O162" s="263">
        <v>2</v>
      </c>
      <c r="P162" s="247" t="s">
        <v>92</v>
      </c>
      <c r="Q162" s="263"/>
      <c r="R162" s="263"/>
      <c r="S162" s="263"/>
      <c r="T162" s="263"/>
      <c r="U162" s="263"/>
      <c r="V162" s="263"/>
      <c r="X162" s="264" t="str">
        <f>IF(C162="sinapi","ok",IF(C162="orse","ok",IF(P162="título","título",IF(P162="intertítulo","intertítulo",""))))</f>
        <v/>
      </c>
    </row>
    <row r="163" spans="1:24" s="248" customFormat="1" ht="23.25">
      <c r="A163" s="266"/>
      <c r="B163" s="267"/>
      <c r="C163" s="256"/>
      <c r="D163" s="268" t="s">
        <v>398</v>
      </c>
      <c r="E163" s="257"/>
      <c r="F163" s="258"/>
      <c r="G163" s="259">
        <f t="shared" si="13"/>
        <v>2.15</v>
      </c>
      <c r="H163" s="259"/>
      <c r="I163" s="259">
        <v>1.0699999999999998</v>
      </c>
      <c r="J163" s="259">
        <f t="shared" si="14"/>
        <v>2.3004999999999995</v>
      </c>
      <c r="K163" s="260"/>
      <c r="L163" s="260"/>
      <c r="M163" s="261"/>
      <c r="N163" s="262" t="s">
        <v>368</v>
      </c>
      <c r="O163" s="263">
        <v>2</v>
      </c>
      <c r="P163" s="247" t="s">
        <v>92</v>
      </c>
      <c r="Q163" s="263"/>
      <c r="R163" s="263"/>
      <c r="S163" s="263"/>
      <c r="T163" s="263"/>
      <c r="U163" s="263"/>
      <c r="V163" s="263"/>
      <c r="X163" s="264" t="str">
        <f>IF(C163="sinapi","ok",IF(C163="orse","ok",IF(P163="título","título",IF(P163="intertítulo","intertítulo",""))))</f>
        <v/>
      </c>
    </row>
    <row r="164" spans="1:24" s="248" customFormat="1" ht="28.5" customHeight="1">
      <c r="A164" s="266"/>
      <c r="B164" s="267"/>
      <c r="C164" s="256"/>
      <c r="D164" s="268" t="s">
        <v>400</v>
      </c>
      <c r="E164" s="257"/>
      <c r="F164" s="258"/>
      <c r="G164" s="259">
        <f t="shared" si="13"/>
        <v>2.15</v>
      </c>
      <c r="H164" s="259"/>
      <c r="I164" s="259">
        <v>1.0699999999999998</v>
      </c>
      <c r="J164" s="259">
        <f t="shared" si="14"/>
        <v>2.3004999999999995</v>
      </c>
      <c r="K164" s="260"/>
      <c r="L164" s="260"/>
      <c r="M164" s="261"/>
      <c r="N164" s="262" t="s">
        <v>368</v>
      </c>
      <c r="O164" s="263">
        <v>2</v>
      </c>
      <c r="P164" s="247" t="s">
        <v>92</v>
      </c>
      <c r="Q164" s="263"/>
      <c r="R164" s="263"/>
      <c r="S164" s="263"/>
      <c r="T164" s="263"/>
      <c r="U164" s="263"/>
      <c r="V164" s="263"/>
      <c r="X164" s="264" t="str">
        <f>IF(C164="sinapi","ok",IF(C164="orse","ok",IF(P164="título","título",IF(P164="intertítulo","intertítulo",""))))</f>
        <v/>
      </c>
    </row>
    <row r="165" spans="1:24" s="248" customFormat="1" ht="23.25">
      <c r="A165" s="266"/>
      <c r="B165" s="267"/>
      <c r="C165" s="256"/>
      <c r="D165" s="268" t="s">
        <v>402</v>
      </c>
      <c r="E165" s="257"/>
      <c r="F165" s="258"/>
      <c r="G165" s="259">
        <f t="shared" si="13"/>
        <v>2.15</v>
      </c>
      <c r="H165" s="259"/>
      <c r="I165" s="259">
        <v>1.0699999999999998</v>
      </c>
      <c r="J165" s="259">
        <f t="shared" si="14"/>
        <v>2.3004999999999995</v>
      </c>
      <c r="K165" s="260"/>
      <c r="L165" s="260"/>
      <c r="M165" s="261"/>
      <c r="N165" s="262" t="s">
        <v>368</v>
      </c>
      <c r="O165" s="263">
        <v>2</v>
      </c>
      <c r="P165" s="247" t="s">
        <v>92</v>
      </c>
      <c r="Q165" s="263"/>
      <c r="R165" s="263"/>
      <c r="S165" s="263"/>
      <c r="T165" s="263"/>
      <c r="U165" s="263"/>
      <c r="V165" s="263"/>
      <c r="X165" s="264" t="str">
        <f>IF(C165="sinapi","ok",IF(C165="orse","ok",IF(P165="título","título",IF(P165="intertítulo","intertítulo",""))))</f>
        <v/>
      </c>
    </row>
    <row r="166" spans="1:24" s="248" customFormat="1" ht="28.5" customHeight="1">
      <c r="A166" s="266"/>
      <c r="B166" s="267"/>
      <c r="C166" s="256"/>
      <c r="D166" s="268" t="s">
        <v>404</v>
      </c>
      <c r="E166" s="269"/>
      <c r="F166" s="258"/>
      <c r="G166" s="259">
        <f>1.25+0.88</f>
        <v>2.13</v>
      </c>
      <c r="H166" s="259"/>
      <c r="I166" s="259">
        <v>1.0699999999999998</v>
      </c>
      <c r="J166" s="259">
        <f t="shared" si="14"/>
        <v>2.2790999999999997</v>
      </c>
      <c r="K166" s="260"/>
      <c r="L166" s="260"/>
      <c r="M166" s="261"/>
      <c r="N166" s="262" t="s">
        <v>368</v>
      </c>
      <c r="O166" s="263">
        <v>2</v>
      </c>
      <c r="P166" s="247" t="s">
        <v>92</v>
      </c>
      <c r="Q166" s="263"/>
      <c r="R166" s="263"/>
      <c r="S166" s="263"/>
      <c r="T166" s="263"/>
      <c r="U166" s="263"/>
      <c r="V166" s="263"/>
      <c r="X166" s="264" t="str">
        <f t="shared" ref="X166:X172" si="15">IF(C166="sinapi","ok",IF(C166="orse","ok",IF(P166="título","título",IF(P166="intertítulo","intertítulo",""))))</f>
        <v/>
      </c>
    </row>
    <row r="167" spans="1:24" s="248" customFormat="1" ht="28.5" customHeight="1">
      <c r="A167" s="266"/>
      <c r="B167" s="267"/>
      <c r="C167" s="256"/>
      <c r="D167" s="268" t="s">
        <v>406</v>
      </c>
      <c r="E167" s="269"/>
      <c r="F167" s="258"/>
      <c r="G167" s="259">
        <f>1.25+0.88</f>
        <v>2.13</v>
      </c>
      <c r="H167" s="259"/>
      <c r="I167" s="259">
        <v>1.0699999999999998</v>
      </c>
      <c r="J167" s="259">
        <f t="shared" si="14"/>
        <v>2.2790999999999997</v>
      </c>
      <c r="K167" s="260"/>
      <c r="L167" s="260"/>
      <c r="M167" s="261"/>
      <c r="N167" s="262" t="s">
        <v>368</v>
      </c>
      <c r="O167" s="263">
        <v>2</v>
      </c>
      <c r="P167" s="247" t="s">
        <v>92</v>
      </c>
      <c r="Q167" s="263"/>
      <c r="R167" s="263"/>
      <c r="S167" s="263"/>
      <c r="T167" s="263"/>
      <c r="U167" s="263"/>
      <c r="V167" s="263"/>
      <c r="X167" s="264" t="str">
        <f t="shared" si="15"/>
        <v/>
      </c>
    </row>
    <row r="168" spans="1:24" s="248" customFormat="1" ht="28.5" customHeight="1">
      <c r="A168" s="266"/>
      <c r="B168" s="267"/>
      <c r="C168" s="256"/>
      <c r="D168" s="268" t="s">
        <v>408</v>
      </c>
      <c r="E168" s="259"/>
      <c r="F168" s="258"/>
      <c r="G168" s="259">
        <f>1.25+0.88</f>
        <v>2.13</v>
      </c>
      <c r="H168" s="259"/>
      <c r="I168" s="259">
        <v>1.0699999999999998</v>
      </c>
      <c r="J168" s="259">
        <f t="shared" si="14"/>
        <v>2.2790999999999997</v>
      </c>
      <c r="K168" s="260"/>
      <c r="L168" s="260"/>
      <c r="M168" s="261"/>
      <c r="N168" s="262" t="s">
        <v>368</v>
      </c>
      <c r="O168" s="263">
        <v>2</v>
      </c>
      <c r="P168" s="247" t="s">
        <v>92</v>
      </c>
      <c r="Q168" s="263"/>
      <c r="R168" s="263"/>
      <c r="S168" s="263"/>
      <c r="T168" s="263"/>
      <c r="U168" s="263"/>
      <c r="V168" s="263"/>
      <c r="X168" s="264" t="str">
        <f t="shared" si="15"/>
        <v/>
      </c>
    </row>
    <row r="169" spans="1:24" s="248" customFormat="1" ht="26.25" customHeight="1">
      <c r="A169" s="266"/>
      <c r="B169" s="267"/>
      <c r="C169" s="256"/>
      <c r="D169" s="268" t="s">
        <v>410</v>
      </c>
      <c r="E169" s="259"/>
      <c r="F169" s="258"/>
      <c r="G169" s="259">
        <f>1.25+0.88</f>
        <v>2.13</v>
      </c>
      <c r="H169" s="259"/>
      <c r="I169" s="259">
        <v>1.0699999999999998</v>
      </c>
      <c r="J169" s="259">
        <f t="shared" si="14"/>
        <v>2.2790999999999997</v>
      </c>
      <c r="K169" s="260"/>
      <c r="L169" s="260"/>
      <c r="M169" s="261"/>
      <c r="N169" s="262" t="s">
        <v>368</v>
      </c>
      <c r="O169" s="263">
        <v>2</v>
      </c>
      <c r="P169" s="247" t="s">
        <v>92</v>
      </c>
      <c r="Q169" s="263"/>
      <c r="R169" s="263"/>
      <c r="S169" s="263"/>
      <c r="T169" s="263"/>
      <c r="U169" s="263"/>
      <c r="V169" s="263"/>
      <c r="X169" s="264" t="str">
        <f t="shared" si="15"/>
        <v/>
      </c>
    </row>
    <row r="170" spans="1:24" s="248" customFormat="1" ht="28.5" customHeight="1">
      <c r="A170" s="266"/>
      <c r="B170" s="267"/>
      <c r="C170" s="256"/>
      <c r="D170" s="268" t="s">
        <v>412</v>
      </c>
      <c r="E170" s="269"/>
      <c r="F170" s="258"/>
      <c r="G170" s="259">
        <f>1.25+0.88</f>
        <v>2.13</v>
      </c>
      <c r="H170" s="259"/>
      <c r="I170" s="259">
        <v>1.0699999999999998</v>
      </c>
      <c r="J170" s="259">
        <f t="shared" si="14"/>
        <v>2.2790999999999997</v>
      </c>
      <c r="K170" s="260"/>
      <c r="L170" s="260"/>
      <c r="M170" s="261"/>
      <c r="N170" s="262" t="s">
        <v>368</v>
      </c>
      <c r="O170" s="263">
        <v>2</v>
      </c>
      <c r="P170" s="247" t="s">
        <v>92</v>
      </c>
      <c r="Q170" s="263"/>
      <c r="R170" s="263"/>
      <c r="S170" s="263"/>
      <c r="T170" s="263"/>
      <c r="U170" s="263"/>
      <c r="V170" s="263"/>
      <c r="X170" s="264" t="str">
        <f t="shared" si="15"/>
        <v/>
      </c>
    </row>
    <row r="171" spans="1:24" s="248" customFormat="1" ht="28.5" customHeight="1">
      <c r="A171" s="266"/>
      <c r="B171" s="267"/>
      <c r="C171" s="256"/>
      <c r="D171" s="268" t="s">
        <v>414</v>
      </c>
      <c r="E171" s="259"/>
      <c r="F171" s="258"/>
      <c r="G171" s="259">
        <f>(0.73+1.1)*12</f>
        <v>21.96</v>
      </c>
      <c r="H171" s="271"/>
      <c r="I171" s="259">
        <v>2.0499999999999998</v>
      </c>
      <c r="J171" s="259">
        <f t="shared" si="14"/>
        <v>45.018000000000001</v>
      </c>
      <c r="K171" s="260"/>
      <c r="L171" s="260"/>
      <c r="M171" s="261"/>
      <c r="N171" s="262" t="s">
        <v>368</v>
      </c>
      <c r="O171" s="263">
        <v>2</v>
      </c>
      <c r="P171" s="247" t="s">
        <v>92</v>
      </c>
      <c r="Q171" s="263"/>
      <c r="R171" s="263"/>
      <c r="S171" s="263"/>
      <c r="T171" s="263"/>
      <c r="U171" s="263"/>
      <c r="V171" s="263"/>
      <c r="X171" s="264" t="str">
        <f t="shared" si="15"/>
        <v/>
      </c>
    </row>
    <row r="172" spans="1:24" s="248" customFormat="1" ht="28.5" customHeight="1">
      <c r="A172" s="266"/>
      <c r="B172" s="267"/>
      <c r="C172" s="256"/>
      <c r="D172" s="268" t="s">
        <v>413</v>
      </c>
      <c r="E172" s="259"/>
      <c r="F172" s="258"/>
      <c r="G172" s="259">
        <f>2.15+2+1.2+2.15+2+1.2</f>
        <v>10.7</v>
      </c>
      <c r="H172" s="271"/>
      <c r="I172" s="259">
        <v>0.5</v>
      </c>
      <c r="J172" s="259">
        <f t="shared" si="14"/>
        <v>5.35</v>
      </c>
      <c r="K172" s="260"/>
      <c r="L172" s="260"/>
      <c r="M172" s="261"/>
      <c r="N172" s="262" t="s">
        <v>368</v>
      </c>
      <c r="O172" s="263">
        <v>2</v>
      </c>
      <c r="P172" s="247" t="s">
        <v>92</v>
      </c>
      <c r="Q172" s="263"/>
      <c r="R172" s="263"/>
      <c r="S172" s="263"/>
      <c r="T172" s="263"/>
      <c r="U172" s="263"/>
      <c r="V172" s="263"/>
      <c r="X172" s="264" t="str">
        <f t="shared" si="15"/>
        <v/>
      </c>
    </row>
    <row r="174" spans="1:24" s="4" customFormat="1" ht="26.25">
      <c r="A174" s="312" t="s">
        <v>57</v>
      </c>
      <c r="B174" s="230"/>
      <c r="J174" s="283">
        <f>SUM(J175:J187)</f>
        <v>165.5025</v>
      </c>
      <c r="N174" s="230"/>
    </row>
    <row r="175" spans="1:24" s="248" customFormat="1" ht="28.5" customHeight="1">
      <c r="A175" s="266"/>
      <c r="B175" s="267"/>
      <c r="C175" s="256"/>
      <c r="D175" s="268" t="s">
        <v>391</v>
      </c>
      <c r="E175" s="257"/>
      <c r="F175" s="258"/>
      <c r="G175" s="259">
        <f t="shared" ref="G175:G180" si="16">1.25+0.9</f>
        <v>2.15</v>
      </c>
      <c r="H175" s="259"/>
      <c r="I175" s="259">
        <v>2.67</v>
      </c>
      <c r="J175" s="259">
        <f>I175*G175</f>
        <v>5.7404999999999999</v>
      </c>
      <c r="K175" s="260"/>
      <c r="L175" s="260"/>
      <c r="M175" s="261"/>
      <c r="N175" s="262" t="s">
        <v>368</v>
      </c>
      <c r="O175" s="263">
        <v>2</v>
      </c>
      <c r="P175" s="247"/>
      <c r="Q175" s="263" t="s">
        <v>317</v>
      </c>
      <c r="R175" s="263"/>
      <c r="S175" s="263"/>
      <c r="T175" s="263"/>
      <c r="U175" s="263"/>
      <c r="V175" s="263"/>
      <c r="X175" s="264"/>
    </row>
    <row r="176" spans="1:24" s="248" customFormat="1" ht="28.5" customHeight="1">
      <c r="A176" s="266"/>
      <c r="B176" s="267"/>
      <c r="C176" s="256"/>
      <c r="D176" s="268" t="s">
        <v>393</v>
      </c>
      <c r="E176" s="257"/>
      <c r="F176" s="258"/>
      <c r="G176" s="259">
        <f t="shared" si="16"/>
        <v>2.15</v>
      </c>
      <c r="H176" s="259"/>
      <c r="I176" s="259">
        <v>2.67</v>
      </c>
      <c r="J176" s="259">
        <f t="shared" ref="J176:J187" si="17">I176*G176</f>
        <v>5.7404999999999999</v>
      </c>
      <c r="K176" s="260"/>
      <c r="L176" s="260"/>
      <c r="M176" s="261"/>
      <c r="N176" s="262" t="s">
        <v>368</v>
      </c>
      <c r="O176" s="263">
        <v>2</v>
      </c>
      <c r="P176" s="265"/>
      <c r="Q176" s="263"/>
      <c r="R176" s="263"/>
      <c r="S176" s="263"/>
      <c r="T176" s="263"/>
      <c r="U176" s="263"/>
      <c r="V176" s="263"/>
      <c r="X176" s="264"/>
    </row>
    <row r="177" spans="1:24" s="248" customFormat="1" ht="28.5" customHeight="1">
      <c r="A177" s="266"/>
      <c r="B177" s="267"/>
      <c r="C177" s="256"/>
      <c r="D177" s="268" t="s">
        <v>395</v>
      </c>
      <c r="E177" s="257"/>
      <c r="F177" s="258"/>
      <c r="G177" s="259">
        <f t="shared" si="16"/>
        <v>2.15</v>
      </c>
      <c r="H177" s="259"/>
      <c r="I177" s="259">
        <v>2.67</v>
      </c>
      <c r="J177" s="259">
        <f t="shared" si="17"/>
        <v>5.7404999999999999</v>
      </c>
      <c r="K177" s="260"/>
      <c r="L177" s="260"/>
      <c r="M177" s="261"/>
      <c r="N177" s="262" t="s">
        <v>368</v>
      </c>
      <c r="O177" s="263">
        <v>2</v>
      </c>
      <c r="P177" s="247" t="s">
        <v>92</v>
      </c>
      <c r="Q177" s="263"/>
      <c r="R177" s="263"/>
      <c r="S177" s="263"/>
      <c r="T177" s="263"/>
      <c r="U177" s="263"/>
      <c r="V177" s="263"/>
      <c r="X177" s="264" t="str">
        <f>IF(C177="sinapi","ok",IF(C177="orse","ok",IF(P177="título","título",IF(P177="intertítulo","intertítulo",""))))</f>
        <v/>
      </c>
    </row>
    <row r="178" spans="1:24" s="248" customFormat="1" ht="23.25">
      <c r="A178" s="266"/>
      <c r="B178" s="267"/>
      <c r="C178" s="256"/>
      <c r="D178" s="268" t="s">
        <v>398</v>
      </c>
      <c r="E178" s="257"/>
      <c r="F178" s="258"/>
      <c r="G178" s="259">
        <f t="shared" si="16"/>
        <v>2.15</v>
      </c>
      <c r="H178" s="259"/>
      <c r="I178" s="259">
        <v>2.67</v>
      </c>
      <c r="J178" s="259">
        <f t="shared" si="17"/>
        <v>5.7404999999999999</v>
      </c>
      <c r="K178" s="260"/>
      <c r="L178" s="260"/>
      <c r="M178" s="261"/>
      <c r="N178" s="262" t="s">
        <v>368</v>
      </c>
      <c r="O178" s="263">
        <v>2</v>
      </c>
      <c r="P178" s="247" t="s">
        <v>92</v>
      </c>
      <c r="Q178" s="263"/>
      <c r="R178" s="263"/>
      <c r="S178" s="263"/>
      <c r="T178" s="263"/>
      <c r="U178" s="263"/>
      <c r="V178" s="263"/>
      <c r="X178" s="264" t="str">
        <f>IF(C178="sinapi","ok",IF(C178="orse","ok",IF(P178="título","título",IF(P178="intertítulo","intertítulo",""))))</f>
        <v/>
      </c>
    </row>
    <row r="179" spans="1:24" s="248" customFormat="1" ht="28.5" customHeight="1">
      <c r="A179" s="266"/>
      <c r="B179" s="267"/>
      <c r="C179" s="256"/>
      <c r="D179" s="268" t="s">
        <v>400</v>
      </c>
      <c r="E179" s="257"/>
      <c r="F179" s="258"/>
      <c r="G179" s="259">
        <f t="shared" si="16"/>
        <v>2.15</v>
      </c>
      <c r="H179" s="259"/>
      <c r="I179" s="259">
        <v>2.67</v>
      </c>
      <c r="J179" s="259">
        <f t="shared" si="17"/>
        <v>5.7404999999999999</v>
      </c>
      <c r="K179" s="260"/>
      <c r="L179" s="260"/>
      <c r="M179" s="261"/>
      <c r="N179" s="262" t="s">
        <v>368</v>
      </c>
      <c r="O179" s="263">
        <v>2</v>
      </c>
      <c r="P179" s="247" t="s">
        <v>92</v>
      </c>
      <c r="Q179" s="263"/>
      <c r="R179" s="263"/>
      <c r="S179" s="263"/>
      <c r="T179" s="263"/>
      <c r="U179" s="263"/>
      <c r="V179" s="263"/>
      <c r="X179" s="264" t="str">
        <f>IF(C179="sinapi","ok",IF(C179="orse","ok",IF(P179="título","título",IF(P179="intertítulo","intertítulo",""))))</f>
        <v/>
      </c>
    </row>
    <row r="180" spans="1:24" s="248" customFormat="1" ht="23.25">
      <c r="A180" s="266"/>
      <c r="B180" s="267"/>
      <c r="C180" s="256"/>
      <c r="D180" s="268" t="s">
        <v>402</v>
      </c>
      <c r="E180" s="257"/>
      <c r="F180" s="258"/>
      <c r="G180" s="259">
        <f t="shared" si="16"/>
        <v>2.15</v>
      </c>
      <c r="H180" s="259"/>
      <c r="I180" s="259">
        <v>2.67</v>
      </c>
      <c r="J180" s="259">
        <f t="shared" si="17"/>
        <v>5.7404999999999999</v>
      </c>
      <c r="K180" s="260"/>
      <c r="L180" s="260"/>
      <c r="M180" s="261"/>
      <c r="N180" s="262" t="s">
        <v>368</v>
      </c>
      <c r="O180" s="263">
        <v>2</v>
      </c>
      <c r="P180" s="247" t="s">
        <v>92</v>
      </c>
      <c r="Q180" s="263"/>
      <c r="R180" s="263"/>
      <c r="S180" s="263"/>
      <c r="T180" s="263"/>
      <c r="U180" s="263"/>
      <c r="V180" s="263"/>
      <c r="X180" s="264" t="str">
        <f>IF(C180="sinapi","ok",IF(C180="orse","ok",IF(P180="título","título",IF(P180="intertítulo","intertítulo",""))))</f>
        <v/>
      </c>
    </row>
    <row r="181" spans="1:24" s="248" customFormat="1" ht="28.5" customHeight="1">
      <c r="A181" s="266"/>
      <c r="B181" s="267"/>
      <c r="C181" s="256"/>
      <c r="D181" s="268" t="s">
        <v>404</v>
      </c>
      <c r="E181" s="269"/>
      <c r="F181" s="258"/>
      <c r="G181" s="259">
        <f>1.25+0.88</f>
        <v>2.13</v>
      </c>
      <c r="H181" s="259"/>
      <c r="I181" s="259">
        <v>2.67</v>
      </c>
      <c r="J181" s="259">
        <f t="shared" si="17"/>
        <v>5.6870999999999992</v>
      </c>
      <c r="K181" s="260"/>
      <c r="L181" s="260"/>
      <c r="M181" s="261"/>
      <c r="N181" s="262" t="s">
        <v>368</v>
      </c>
      <c r="O181" s="263">
        <v>2</v>
      </c>
      <c r="P181" s="247" t="s">
        <v>92</v>
      </c>
      <c r="Q181" s="263"/>
      <c r="R181" s="263"/>
      <c r="S181" s="263"/>
      <c r="T181" s="263"/>
      <c r="U181" s="263"/>
      <c r="V181" s="263"/>
      <c r="X181" s="264" t="str">
        <f t="shared" ref="X181:X187" si="18">IF(C181="sinapi","ok",IF(C181="orse","ok",IF(P181="título","título",IF(P181="intertítulo","intertítulo",""))))</f>
        <v/>
      </c>
    </row>
    <row r="182" spans="1:24" s="248" customFormat="1" ht="28.5" customHeight="1">
      <c r="A182" s="266"/>
      <c r="B182" s="267"/>
      <c r="C182" s="256"/>
      <c r="D182" s="268" t="s">
        <v>406</v>
      </c>
      <c r="E182" s="269"/>
      <c r="F182" s="258"/>
      <c r="G182" s="259">
        <f>1.25+0.88</f>
        <v>2.13</v>
      </c>
      <c r="H182" s="259"/>
      <c r="I182" s="259">
        <v>2.67</v>
      </c>
      <c r="J182" s="259">
        <f t="shared" si="17"/>
        <v>5.6870999999999992</v>
      </c>
      <c r="K182" s="260"/>
      <c r="L182" s="260"/>
      <c r="M182" s="261"/>
      <c r="N182" s="262" t="s">
        <v>368</v>
      </c>
      <c r="O182" s="263">
        <v>2</v>
      </c>
      <c r="P182" s="247" t="s">
        <v>92</v>
      </c>
      <c r="Q182" s="263"/>
      <c r="R182" s="263"/>
      <c r="S182" s="263"/>
      <c r="T182" s="263"/>
      <c r="U182" s="263"/>
      <c r="V182" s="263"/>
      <c r="X182" s="264" t="str">
        <f t="shared" si="18"/>
        <v/>
      </c>
    </row>
    <row r="183" spans="1:24" s="248" customFormat="1" ht="28.5" customHeight="1">
      <c r="A183" s="266"/>
      <c r="B183" s="267"/>
      <c r="C183" s="256"/>
      <c r="D183" s="268" t="s">
        <v>408</v>
      </c>
      <c r="E183" s="259"/>
      <c r="F183" s="258"/>
      <c r="G183" s="259">
        <f>1.25+0.88</f>
        <v>2.13</v>
      </c>
      <c r="H183" s="259"/>
      <c r="I183" s="259">
        <v>2.67</v>
      </c>
      <c r="J183" s="259">
        <f t="shared" si="17"/>
        <v>5.6870999999999992</v>
      </c>
      <c r="K183" s="260"/>
      <c r="L183" s="260"/>
      <c r="M183" s="261"/>
      <c r="N183" s="262" t="s">
        <v>368</v>
      </c>
      <c r="O183" s="263">
        <v>2</v>
      </c>
      <c r="P183" s="247" t="s">
        <v>92</v>
      </c>
      <c r="Q183" s="263"/>
      <c r="R183" s="263"/>
      <c r="S183" s="263"/>
      <c r="T183" s="263"/>
      <c r="U183" s="263"/>
      <c r="V183" s="263"/>
      <c r="X183" s="264" t="str">
        <f t="shared" si="18"/>
        <v/>
      </c>
    </row>
    <row r="184" spans="1:24" s="248" customFormat="1" ht="26.25" customHeight="1">
      <c r="A184" s="266"/>
      <c r="B184" s="267"/>
      <c r="C184" s="256"/>
      <c r="D184" s="268" t="s">
        <v>410</v>
      </c>
      <c r="E184" s="259"/>
      <c r="F184" s="258"/>
      <c r="G184" s="259">
        <f>1.25+0.88</f>
        <v>2.13</v>
      </c>
      <c r="H184" s="259"/>
      <c r="I184" s="259">
        <v>2.67</v>
      </c>
      <c r="J184" s="259">
        <f t="shared" si="17"/>
        <v>5.6870999999999992</v>
      </c>
      <c r="K184" s="260"/>
      <c r="L184" s="260"/>
      <c r="M184" s="261"/>
      <c r="N184" s="262" t="s">
        <v>368</v>
      </c>
      <c r="O184" s="263">
        <v>2</v>
      </c>
      <c r="P184" s="247" t="s">
        <v>92</v>
      </c>
      <c r="Q184" s="263"/>
      <c r="R184" s="263"/>
      <c r="S184" s="263"/>
      <c r="T184" s="263"/>
      <c r="U184" s="263"/>
      <c r="V184" s="263"/>
      <c r="X184" s="264" t="str">
        <f t="shared" si="18"/>
        <v/>
      </c>
    </row>
    <row r="185" spans="1:24" s="248" customFormat="1" ht="28.5" customHeight="1">
      <c r="A185" s="266"/>
      <c r="B185" s="267"/>
      <c r="C185" s="256"/>
      <c r="D185" s="268" t="s">
        <v>412</v>
      </c>
      <c r="E185" s="269"/>
      <c r="F185" s="258"/>
      <c r="G185" s="259">
        <f>1.25+0.88</f>
        <v>2.13</v>
      </c>
      <c r="H185" s="259"/>
      <c r="I185" s="259">
        <v>2.67</v>
      </c>
      <c r="J185" s="259">
        <f t="shared" si="17"/>
        <v>5.6870999999999992</v>
      </c>
      <c r="K185" s="260"/>
      <c r="L185" s="260"/>
      <c r="M185" s="261"/>
      <c r="N185" s="262" t="s">
        <v>368</v>
      </c>
      <c r="O185" s="263">
        <v>2</v>
      </c>
      <c r="P185" s="247" t="s">
        <v>92</v>
      </c>
      <c r="Q185" s="263"/>
      <c r="R185" s="263"/>
      <c r="S185" s="263"/>
      <c r="T185" s="263"/>
      <c r="U185" s="263"/>
      <c r="V185" s="263"/>
      <c r="X185" s="264" t="str">
        <f t="shared" si="18"/>
        <v/>
      </c>
    </row>
    <row r="186" spans="1:24" s="248" customFormat="1" ht="28.5" customHeight="1">
      <c r="A186" s="266"/>
      <c r="B186" s="267"/>
      <c r="C186" s="256"/>
      <c r="D186" s="268" t="s">
        <v>414</v>
      </c>
      <c r="E186" s="259"/>
      <c r="F186" s="258"/>
      <c r="G186" s="259">
        <f>(0.73+1.1)*12</f>
        <v>21.96</v>
      </c>
      <c r="H186" s="271"/>
      <c r="I186" s="259">
        <v>3.65</v>
      </c>
      <c r="J186" s="259">
        <f t="shared" si="17"/>
        <v>80.153999999999996</v>
      </c>
      <c r="K186" s="260"/>
      <c r="L186" s="260"/>
      <c r="M186" s="261"/>
      <c r="N186" s="262" t="s">
        <v>368</v>
      </c>
      <c r="O186" s="263">
        <v>2</v>
      </c>
      <c r="P186" s="247" t="s">
        <v>92</v>
      </c>
      <c r="Q186" s="263"/>
      <c r="R186" s="263"/>
      <c r="S186" s="263"/>
      <c r="T186" s="263"/>
      <c r="U186" s="263"/>
      <c r="V186" s="263"/>
      <c r="X186" s="264" t="str">
        <f t="shared" si="18"/>
        <v/>
      </c>
    </row>
    <row r="187" spans="1:24" s="248" customFormat="1" ht="28.5" customHeight="1">
      <c r="A187" s="266"/>
      <c r="B187" s="267"/>
      <c r="C187" s="256"/>
      <c r="D187" s="268" t="s">
        <v>413</v>
      </c>
      <c r="E187" s="259"/>
      <c r="F187" s="258"/>
      <c r="G187" s="259">
        <f>2.15+2+1.2+2.15+2+1.2</f>
        <v>10.7</v>
      </c>
      <c r="H187" s="271"/>
      <c r="I187" s="259">
        <v>2.1</v>
      </c>
      <c r="J187" s="259">
        <f t="shared" si="17"/>
        <v>22.47</v>
      </c>
      <c r="K187" s="260"/>
      <c r="L187" s="260"/>
      <c r="M187" s="261"/>
      <c r="N187" s="262" t="s">
        <v>368</v>
      </c>
      <c r="O187" s="263">
        <v>2</v>
      </c>
      <c r="P187" s="247" t="s">
        <v>92</v>
      </c>
      <c r="Q187" s="263"/>
      <c r="R187" s="263"/>
      <c r="S187" s="263"/>
      <c r="T187" s="263"/>
      <c r="U187" s="263"/>
      <c r="V187" s="263"/>
      <c r="X187" s="264" t="str">
        <f t="shared" si="18"/>
        <v/>
      </c>
    </row>
    <row r="190" spans="1:24" s="4" customFormat="1" ht="26.25">
      <c r="A190" s="313" t="s">
        <v>343</v>
      </c>
      <c r="B190" s="230"/>
      <c r="J190" s="283">
        <f>SUM(J191:J224)</f>
        <v>776.22570000000007</v>
      </c>
      <c r="N190" s="230"/>
    </row>
    <row r="191" spans="1:24" s="4" customFormat="1" ht="26.25">
      <c r="A191" s="313" t="s">
        <v>388</v>
      </c>
      <c r="B191" s="230"/>
      <c r="J191" s="283"/>
      <c r="N191" s="230"/>
    </row>
    <row r="192" spans="1:24" s="248" customFormat="1" ht="28.5" customHeight="1">
      <c r="A192" s="266" t="str">
        <f>IF(MID(N192,1,1)="R","RECUPERAR",VLOOKUP(N192,'auxiliar memoria'!$D$40:$E$47,2,FALSE))</f>
        <v>RECUPERAR</v>
      </c>
      <c r="B192" s="267" t="str">
        <f>IF(MID(N192,1,1)="R",VLOOKUP(O192,'auxiliar memoria'!$D$40:$E$47,2,FALSE),VLOOKUP(O192,'auxiliar memoria'!$G$122:$H$140,2,FALSE))</f>
        <v>CERÂMICA APARTIR DO PISO ATÉ 1,60M</v>
      </c>
      <c r="C192" s="256"/>
      <c r="D192" s="268" t="s">
        <v>392</v>
      </c>
      <c r="E192" s="257"/>
      <c r="F192" s="258"/>
      <c r="G192" s="259">
        <f>31.37-2.15</f>
        <v>29.220000000000002</v>
      </c>
      <c r="H192" s="259"/>
      <c r="I192" s="259">
        <v>1.6</v>
      </c>
      <c r="J192" s="259">
        <f>I192*G192*20%</f>
        <v>9.3504000000000023</v>
      </c>
      <c r="K192" s="260"/>
      <c r="L192" s="260"/>
      <c r="M192" s="261"/>
      <c r="N192" s="262" t="s">
        <v>368</v>
      </c>
      <c r="O192" s="263">
        <v>2</v>
      </c>
      <c r="P192" s="247"/>
      <c r="Q192" s="263" t="s">
        <v>317</v>
      </c>
      <c r="R192" s="263"/>
      <c r="S192" s="263"/>
      <c r="T192" s="263"/>
      <c r="U192" s="263"/>
      <c r="V192" s="263"/>
      <c r="X192" s="264"/>
    </row>
    <row r="193" spans="1:24" s="248" customFormat="1" ht="28.5" customHeight="1">
      <c r="A193" s="266" t="str">
        <f>IF(MID(N193,1,1)="R","RECUPERAR",VLOOKUP(N193,'auxiliar memoria'!$D$40:$E$47,2,FALSE))</f>
        <v>RECUPERAR</v>
      </c>
      <c r="B193" s="267" t="str">
        <f>IF(MID(N193,1,1)="R",VLOOKUP(O193,'auxiliar memoria'!$D$40:$E$47,2,FALSE),VLOOKUP(O193,'auxiliar memoria'!$G$122:$H$140,2,FALSE))</f>
        <v>CERÂMICA APARTIR DO PISO ATÉ 1,60M</v>
      </c>
      <c r="C193" s="256"/>
      <c r="D193" s="268" t="s">
        <v>394</v>
      </c>
      <c r="E193" s="257"/>
      <c r="F193" s="258"/>
      <c r="G193" s="259">
        <f>31.3-2.15</f>
        <v>29.150000000000002</v>
      </c>
      <c r="H193" s="259"/>
      <c r="I193" s="259">
        <v>1.6</v>
      </c>
      <c r="J193" s="259">
        <f t="shared" ref="J193:J203" si="19">I193*G193*20%</f>
        <v>9.3280000000000012</v>
      </c>
      <c r="K193" s="260"/>
      <c r="L193" s="260"/>
      <c r="M193" s="261"/>
      <c r="N193" s="262" t="s">
        <v>368</v>
      </c>
      <c r="O193" s="263">
        <v>2</v>
      </c>
      <c r="P193" s="265"/>
      <c r="Q193" s="263"/>
      <c r="R193" s="263"/>
      <c r="S193" s="263"/>
      <c r="T193" s="263"/>
      <c r="U193" s="263"/>
      <c r="V193" s="263"/>
      <c r="X193" s="264"/>
    </row>
    <row r="194" spans="1:24" s="248" customFormat="1" ht="28.5" customHeight="1">
      <c r="A194" s="266" t="str">
        <f>IF(MID(N194,1,1)="R","RECUPERAR",VLOOKUP(N194,'auxiliar memoria'!$D$40:$E$47,2,FALSE))</f>
        <v>RECUPERAR</v>
      </c>
      <c r="B194" s="267" t="str">
        <f>IF(MID(N194,1,1)="R",VLOOKUP(O194,'auxiliar memoria'!$D$40:$E$47,2,FALSE),VLOOKUP(O194,'auxiliar memoria'!$G$122:$H$140,2,FALSE))</f>
        <v>CERÂMICA APARTIR DO PISO ATÉ 1,60M</v>
      </c>
      <c r="C194" s="256"/>
      <c r="D194" s="268" t="s">
        <v>396</v>
      </c>
      <c r="E194" s="257"/>
      <c r="F194" s="258"/>
      <c r="G194" s="259">
        <f>31.46-2.15</f>
        <v>29.310000000000002</v>
      </c>
      <c r="H194" s="259"/>
      <c r="I194" s="259">
        <v>1.6</v>
      </c>
      <c r="J194" s="259">
        <f t="shared" si="19"/>
        <v>9.3792000000000026</v>
      </c>
      <c r="K194" s="260"/>
      <c r="L194" s="260"/>
      <c r="M194" s="261"/>
      <c r="N194" s="262" t="s">
        <v>368</v>
      </c>
      <c r="O194" s="263">
        <v>2</v>
      </c>
      <c r="P194" s="247" t="s">
        <v>92</v>
      </c>
      <c r="Q194" s="263"/>
      <c r="R194" s="263"/>
      <c r="S194" s="263"/>
      <c r="T194" s="263"/>
      <c r="U194" s="263"/>
      <c r="V194" s="263"/>
      <c r="X194" s="264" t="str">
        <f>IF(C194="sinapi","ok",IF(C194="orse","ok",IF(P194="título","título",IF(P194="intertítulo","intertítulo",""))))</f>
        <v/>
      </c>
    </row>
    <row r="195" spans="1:24" s="248" customFormat="1" ht="23.25">
      <c r="A195" s="266" t="str">
        <f>IF(MID(N195,1,1)="R","RECUPERAR",VLOOKUP(N195,'auxiliar memoria'!$D$40:$E$47,2,FALSE))</f>
        <v>RECUPERAR</v>
      </c>
      <c r="B195" s="267" t="str">
        <f>IF(MID(N195,1,1)="R",VLOOKUP(O195,'auxiliar memoria'!$D$40:$E$47,2,FALSE),VLOOKUP(O195,'auxiliar memoria'!$G$122:$H$140,2,FALSE))</f>
        <v>CERÂMICA APARTIR DO PISO ATÉ 1,60M</v>
      </c>
      <c r="C195" s="256"/>
      <c r="D195" s="268" t="s">
        <v>397</v>
      </c>
      <c r="E195" s="257"/>
      <c r="F195" s="258"/>
      <c r="G195" s="259">
        <f>31.38-2.15</f>
        <v>29.23</v>
      </c>
      <c r="H195" s="259"/>
      <c r="I195" s="259">
        <v>1.6</v>
      </c>
      <c r="J195" s="259">
        <f t="shared" si="19"/>
        <v>9.3536000000000001</v>
      </c>
      <c r="K195" s="260"/>
      <c r="L195" s="260"/>
      <c r="M195" s="261"/>
      <c r="N195" s="262" t="s">
        <v>368</v>
      </c>
      <c r="O195" s="263">
        <v>2</v>
      </c>
      <c r="P195" s="247" t="s">
        <v>92</v>
      </c>
      <c r="Q195" s="263"/>
      <c r="R195" s="263"/>
      <c r="S195" s="263"/>
      <c r="T195" s="263"/>
      <c r="U195" s="263"/>
      <c r="V195" s="263"/>
      <c r="X195" s="264" t="str">
        <f>IF(C195="sinapi","ok",IF(C195="orse","ok",IF(P195="título","título",IF(P195="intertítulo","intertítulo",""))))</f>
        <v/>
      </c>
    </row>
    <row r="196" spans="1:24" s="248" customFormat="1" ht="28.5" customHeight="1">
      <c r="A196" s="266" t="str">
        <f>IF(MID(N196,1,1)="R","RECUPERAR",VLOOKUP(N196,'auxiliar memoria'!$D$40:$E$47,2,FALSE))</f>
        <v>RECUPERAR</v>
      </c>
      <c r="B196" s="267" t="str">
        <f>IF(MID(N196,1,1)="R",VLOOKUP(O196,'auxiliar memoria'!$D$40:$E$47,2,FALSE),VLOOKUP(O196,'auxiliar memoria'!$G$122:$H$140,2,FALSE))</f>
        <v>CERÂMICA APARTIR DO PISO ATÉ 1,60M</v>
      </c>
      <c r="C196" s="256"/>
      <c r="D196" s="268" t="s">
        <v>399</v>
      </c>
      <c r="E196" s="257"/>
      <c r="F196" s="258"/>
      <c r="G196" s="259">
        <f>31.42-2.15</f>
        <v>29.270000000000003</v>
      </c>
      <c r="H196" s="259"/>
      <c r="I196" s="259">
        <v>1.6</v>
      </c>
      <c r="J196" s="259">
        <f t="shared" si="19"/>
        <v>9.3664000000000023</v>
      </c>
      <c r="K196" s="260"/>
      <c r="L196" s="260"/>
      <c r="M196" s="261"/>
      <c r="N196" s="262" t="s">
        <v>368</v>
      </c>
      <c r="O196" s="263">
        <v>2</v>
      </c>
      <c r="P196" s="247" t="s">
        <v>92</v>
      </c>
      <c r="Q196" s="263"/>
      <c r="R196" s="263"/>
      <c r="S196" s="263"/>
      <c r="T196" s="263"/>
      <c r="U196" s="263"/>
      <c r="V196" s="263"/>
      <c r="X196" s="264" t="str">
        <f>IF(C196="sinapi","ok",IF(C196="orse","ok",IF(P196="título","título",IF(P196="intertítulo","intertítulo",""))))</f>
        <v/>
      </c>
    </row>
    <row r="197" spans="1:24" s="248" customFormat="1" ht="23.25">
      <c r="A197" s="266" t="str">
        <f>IF(MID(N197,1,1)="R","RECUPERAR",VLOOKUP(N197,'auxiliar memoria'!$D$40:$E$47,2,FALSE))</f>
        <v>RECUPERAR</v>
      </c>
      <c r="B197" s="267" t="str">
        <f>IF(MID(N197,1,1)="R",VLOOKUP(O197,'auxiliar memoria'!$D$40:$E$47,2,FALSE),VLOOKUP(O197,'auxiliar memoria'!$G$122:$H$140,2,FALSE))</f>
        <v>CERÂMICA APARTIR DO PISO ATÉ 1,60M</v>
      </c>
      <c r="C197" s="256"/>
      <c r="D197" s="268" t="s">
        <v>401</v>
      </c>
      <c r="E197" s="257"/>
      <c r="F197" s="258"/>
      <c r="G197" s="259">
        <f>31.36-2.15</f>
        <v>29.21</v>
      </c>
      <c r="H197" s="259"/>
      <c r="I197" s="259">
        <v>1.6</v>
      </c>
      <c r="J197" s="259">
        <f t="shared" si="19"/>
        <v>9.3472000000000008</v>
      </c>
      <c r="K197" s="260"/>
      <c r="L197" s="260"/>
      <c r="M197" s="261"/>
      <c r="N197" s="262" t="s">
        <v>368</v>
      </c>
      <c r="O197" s="263">
        <v>2</v>
      </c>
      <c r="P197" s="247" t="s">
        <v>92</v>
      </c>
      <c r="Q197" s="263"/>
      <c r="R197" s="263"/>
      <c r="S197" s="263"/>
      <c r="T197" s="263"/>
      <c r="U197" s="263"/>
      <c r="V197" s="263"/>
      <c r="X197" s="264" t="str">
        <f>IF(C197="sinapi","ok",IF(C197="orse","ok",IF(P197="título","título",IF(P197="intertítulo","intertítulo",""))))</f>
        <v/>
      </c>
    </row>
    <row r="198" spans="1:24" s="248" customFormat="1" ht="28.5" customHeight="1">
      <c r="A198" s="266" t="str">
        <f>IF(MID(N198,1,1)="R","RECUPERAR",VLOOKUP(N198,'auxiliar memoria'!$D$40:$E$47,2,FALSE))</f>
        <v>RECUPERAR</v>
      </c>
      <c r="B198" s="267" t="str">
        <f>IF(MID(N198,1,1)="R",VLOOKUP(O198,'auxiliar memoria'!$D$40:$E$47,2,FALSE),VLOOKUP(O198,'auxiliar memoria'!$G$122:$H$140,2,FALSE))</f>
        <v>CERÂMICA APARTIR DO PISO ATÉ 1,60M</v>
      </c>
      <c r="C198" s="256"/>
      <c r="D198" s="268" t="s">
        <v>403</v>
      </c>
      <c r="E198" s="269"/>
      <c r="F198" s="258"/>
      <c r="G198" s="259">
        <f>31.36-2.13</f>
        <v>29.23</v>
      </c>
      <c r="H198" s="259"/>
      <c r="I198" s="259">
        <v>1.6</v>
      </c>
      <c r="J198" s="259">
        <f t="shared" si="19"/>
        <v>9.3536000000000001</v>
      </c>
      <c r="K198" s="260"/>
      <c r="L198" s="260"/>
      <c r="M198" s="261"/>
      <c r="N198" s="262" t="s">
        <v>368</v>
      </c>
      <c r="O198" s="263">
        <v>2</v>
      </c>
      <c r="P198" s="247" t="s">
        <v>92</v>
      </c>
      <c r="Q198" s="263"/>
      <c r="R198" s="263"/>
      <c r="S198" s="263"/>
      <c r="T198" s="263"/>
      <c r="U198" s="263"/>
      <c r="V198" s="263"/>
      <c r="X198" s="264" t="str">
        <f t="shared" ref="X198:X203" si="20">IF(C198="sinapi","ok",IF(C198="orse","ok",IF(P198="título","título",IF(P198="intertítulo","intertítulo",""))))</f>
        <v/>
      </c>
    </row>
    <row r="199" spans="1:24" s="248" customFormat="1" ht="28.5" customHeight="1">
      <c r="A199" s="266" t="str">
        <f>IF(MID(N199,1,1)="R","RECUPERAR",VLOOKUP(N199,'auxiliar memoria'!$D$40:$E$47,2,FALSE))</f>
        <v>RECUPERAR</v>
      </c>
      <c r="B199" s="267" t="str">
        <f>IF(MID(N199,1,1)="R",VLOOKUP(O199,'auxiliar memoria'!$D$40:$E$47,2,FALSE),VLOOKUP(O199,'auxiliar memoria'!$G$122:$H$140,2,FALSE))</f>
        <v>CERÂMICA APARTIR DO PISO ATÉ 1,60M</v>
      </c>
      <c r="C199" s="256"/>
      <c r="D199" s="268" t="s">
        <v>405</v>
      </c>
      <c r="E199" s="269"/>
      <c r="F199" s="258"/>
      <c r="G199" s="259">
        <f>31.39-2.13</f>
        <v>29.26</v>
      </c>
      <c r="H199" s="259"/>
      <c r="I199" s="259">
        <v>1.6</v>
      </c>
      <c r="J199" s="259">
        <f t="shared" si="19"/>
        <v>9.3632000000000009</v>
      </c>
      <c r="K199" s="260"/>
      <c r="L199" s="260"/>
      <c r="M199" s="261"/>
      <c r="N199" s="262" t="s">
        <v>368</v>
      </c>
      <c r="O199" s="263">
        <v>2</v>
      </c>
      <c r="P199" s="247" t="s">
        <v>92</v>
      </c>
      <c r="Q199" s="263"/>
      <c r="R199" s="263"/>
      <c r="S199" s="263"/>
      <c r="T199" s="263"/>
      <c r="U199" s="263"/>
      <c r="V199" s="263"/>
      <c r="X199" s="264" t="str">
        <f t="shared" si="20"/>
        <v/>
      </c>
    </row>
    <row r="200" spans="1:24" s="248" customFormat="1" ht="28.5" customHeight="1">
      <c r="A200" s="266" t="str">
        <f>IF(MID(N200,1,1)="R","RECUPERAR",VLOOKUP(N200,'auxiliar memoria'!$D$40:$E$47,2,FALSE))</f>
        <v>RECUPERAR</v>
      </c>
      <c r="B200" s="267" t="str">
        <f>IF(MID(N200,1,1)="R",VLOOKUP(O200,'auxiliar memoria'!$D$40:$E$47,2,FALSE),VLOOKUP(O200,'auxiliar memoria'!$G$122:$H$140,2,FALSE))</f>
        <v>CERÂMICA APARTIR DO PISO ATÉ 1,60M</v>
      </c>
      <c r="C200" s="256"/>
      <c r="D200" s="268" t="s">
        <v>407</v>
      </c>
      <c r="E200" s="259"/>
      <c r="F200" s="258"/>
      <c r="G200" s="259">
        <f>31.52-2.13</f>
        <v>29.39</v>
      </c>
      <c r="H200" s="259"/>
      <c r="I200" s="259">
        <v>1.6</v>
      </c>
      <c r="J200" s="259">
        <f t="shared" si="19"/>
        <v>9.4047999999999998</v>
      </c>
      <c r="K200" s="260"/>
      <c r="L200" s="260"/>
      <c r="M200" s="261"/>
      <c r="N200" s="262" t="s">
        <v>368</v>
      </c>
      <c r="O200" s="263">
        <v>2</v>
      </c>
      <c r="P200" s="247" t="s">
        <v>92</v>
      </c>
      <c r="Q200" s="263"/>
      <c r="R200" s="263"/>
      <c r="S200" s="263"/>
      <c r="T200" s="263"/>
      <c r="U200" s="263"/>
      <c r="V200" s="263"/>
      <c r="X200" s="264" t="str">
        <f t="shared" si="20"/>
        <v/>
      </c>
    </row>
    <row r="201" spans="1:24" s="248" customFormat="1" ht="26.25" customHeight="1">
      <c r="A201" s="266" t="str">
        <f>IF(MID(N201,1,1)="R","RECUPERAR",VLOOKUP(N201,'auxiliar memoria'!$D$40:$E$47,2,FALSE))</f>
        <v>RECUPERAR</v>
      </c>
      <c r="B201" s="267" t="str">
        <f>IF(MID(N201,1,1)="R",VLOOKUP(O201,'auxiliar memoria'!$D$40:$E$47,2,FALSE),VLOOKUP(O201,'auxiliar memoria'!$G$122:$H$140,2,FALSE))</f>
        <v>CERÂMICA APARTIR DO PISO ATÉ 1,60M</v>
      </c>
      <c r="C201" s="256"/>
      <c r="D201" s="268" t="s">
        <v>409</v>
      </c>
      <c r="E201" s="259"/>
      <c r="F201" s="258"/>
      <c r="G201" s="259">
        <f>31.38-2.13</f>
        <v>29.25</v>
      </c>
      <c r="H201" s="259"/>
      <c r="I201" s="259">
        <v>1.6</v>
      </c>
      <c r="J201" s="259">
        <f t="shared" si="19"/>
        <v>9.3600000000000012</v>
      </c>
      <c r="K201" s="260"/>
      <c r="L201" s="260"/>
      <c r="M201" s="261"/>
      <c r="N201" s="262" t="s">
        <v>368</v>
      </c>
      <c r="O201" s="263">
        <v>2</v>
      </c>
      <c r="P201" s="247" t="s">
        <v>92</v>
      </c>
      <c r="Q201" s="263"/>
      <c r="R201" s="263"/>
      <c r="S201" s="263"/>
      <c r="T201" s="263"/>
      <c r="U201" s="263"/>
      <c r="V201" s="263"/>
      <c r="X201" s="264" t="str">
        <f t="shared" si="20"/>
        <v/>
      </c>
    </row>
    <row r="202" spans="1:24" s="248" customFormat="1" ht="28.5" customHeight="1">
      <c r="A202" s="266" t="str">
        <f>IF(MID(N202,1,1)="R","RECUPERAR",VLOOKUP(N202,'auxiliar memoria'!$D$40:$E$47,2,FALSE))</f>
        <v>RECUPERAR</v>
      </c>
      <c r="B202" s="267" t="str">
        <f>IF(MID(N202,1,1)="R",VLOOKUP(O202,'auxiliar memoria'!$D$40:$E$47,2,FALSE),VLOOKUP(O202,'auxiliar memoria'!$G$122:$H$140,2,FALSE))</f>
        <v>CERÂMICA APARTIR DO PISO ATÉ 1,60M</v>
      </c>
      <c r="C202" s="256"/>
      <c r="D202" s="268" t="s">
        <v>411</v>
      </c>
      <c r="E202" s="269"/>
      <c r="F202" s="258"/>
      <c r="G202" s="259">
        <f>31.38-2.13</f>
        <v>29.25</v>
      </c>
      <c r="H202" s="259"/>
      <c r="I202" s="259">
        <v>1.6</v>
      </c>
      <c r="J202" s="259">
        <f t="shared" si="19"/>
        <v>9.3600000000000012</v>
      </c>
      <c r="K202" s="260"/>
      <c r="L202" s="260"/>
      <c r="M202" s="261"/>
      <c r="N202" s="262" t="s">
        <v>368</v>
      </c>
      <c r="O202" s="263">
        <v>2</v>
      </c>
      <c r="P202" s="247" t="s">
        <v>92</v>
      </c>
      <c r="Q202" s="263"/>
      <c r="R202" s="263"/>
      <c r="S202" s="263"/>
      <c r="T202" s="263"/>
      <c r="U202" s="263"/>
      <c r="V202" s="263"/>
      <c r="X202" s="264" t="str">
        <f t="shared" si="20"/>
        <v/>
      </c>
    </row>
    <row r="203" spans="1:24" s="248" customFormat="1" ht="28.5" customHeight="1">
      <c r="A203" s="266" t="str">
        <f>IF(MID(N203,1,1)="R","RECUPERAR",VLOOKUP(N203,'auxiliar memoria'!$D$40:$E$47,2,FALSE))</f>
        <v>RECUPERAR</v>
      </c>
      <c r="B203" s="267" t="str">
        <f>IF(MID(N203,1,1)="R",VLOOKUP(O203,'auxiliar memoria'!$D$40:$E$47,2,FALSE),VLOOKUP(O203,'auxiliar memoria'!$G$122:$H$140,2,FALSE))</f>
        <v>CERÂMICA APARTIR DO PISO ATÉ 1,60M</v>
      </c>
      <c r="C203" s="256"/>
      <c r="D203" s="268" t="s">
        <v>415</v>
      </c>
      <c r="E203" s="259"/>
      <c r="F203" s="258"/>
      <c r="G203" s="259">
        <f>128.55-1.83*12</f>
        <v>106.59</v>
      </c>
      <c r="H203" s="271"/>
      <c r="I203" s="259">
        <f>IF(MID(N203,1,1)="r",1.6,IF(VLOOKUP(B203,'auxiliar memoria'!$H$122:$J$141,3,FALSE)="TETO",H203,VLOOKUP(B203,'auxiliar memoria'!$H$122:$J$141,3,FALSE)))</f>
        <v>1.6</v>
      </c>
      <c r="J203" s="259">
        <f t="shared" si="19"/>
        <v>34.108800000000002</v>
      </c>
      <c r="K203" s="260"/>
      <c r="L203" s="260"/>
      <c r="M203" s="261"/>
      <c r="N203" s="262" t="s">
        <v>368</v>
      </c>
      <c r="O203" s="263">
        <v>2</v>
      </c>
      <c r="P203" s="247" t="s">
        <v>92</v>
      </c>
      <c r="Q203" s="263"/>
      <c r="R203" s="263"/>
      <c r="S203" s="263"/>
      <c r="T203" s="263"/>
      <c r="U203" s="263"/>
      <c r="V203" s="263"/>
      <c r="X203" s="264" t="str">
        <f t="shared" si="20"/>
        <v/>
      </c>
    </row>
    <row r="204" spans="1:24" s="4" customFormat="1" ht="26.25">
      <c r="A204" s="313" t="s">
        <v>389</v>
      </c>
      <c r="B204" s="230"/>
      <c r="J204" s="283"/>
      <c r="N204" s="230"/>
    </row>
    <row r="205" spans="1:24" s="248" customFormat="1" ht="28.5" customHeight="1">
      <c r="A205" s="266" t="str">
        <f>IF(MID(N205,1,1)="R","RECUPERAR",VLOOKUP(N205,'auxiliar memoria'!$D$40:$E$47,2,FALSE))</f>
        <v>RECUPERAR</v>
      </c>
      <c r="B205" s="267" t="str">
        <f>IF(MID(N205,1,1)="R",VLOOKUP(O205,'auxiliar memoria'!$D$40:$E$47,2,FALSE),VLOOKUP(O205,'auxiliar memoria'!$G$122:$H$140,2,FALSE))</f>
        <v>CERÂMICA APARTIR DO PISO ATÉ 1,60M</v>
      </c>
      <c r="C205" s="256"/>
      <c r="D205" s="268" t="s">
        <v>358</v>
      </c>
      <c r="E205" s="269"/>
      <c r="F205" s="258"/>
      <c r="G205" s="259">
        <v>6.73</v>
      </c>
      <c r="H205" s="259"/>
      <c r="I205" s="259">
        <f>IF(MID(N205,1,1)="r",1.6,IF(VLOOKUP(B205,'auxiliar memoria'!$H$122:$J$141,3,FALSE)="TETO",H205,VLOOKUP(B205,'auxiliar memoria'!$H$122:$J$141,3,FALSE)))</f>
        <v>1.6</v>
      </c>
      <c r="J205" s="259">
        <f>I205*G205*20%</f>
        <v>2.1536000000000004</v>
      </c>
      <c r="K205" s="260"/>
      <c r="L205" s="260"/>
      <c r="M205" s="261"/>
      <c r="N205" s="262" t="s">
        <v>368</v>
      </c>
      <c r="O205" s="263">
        <v>2</v>
      </c>
      <c r="P205" s="247" t="s">
        <v>92</v>
      </c>
      <c r="Q205" s="263"/>
      <c r="R205" s="263"/>
      <c r="S205" s="263"/>
      <c r="T205" s="263"/>
      <c r="U205" s="263"/>
      <c r="V205" s="263"/>
      <c r="X205" s="264" t="str">
        <f>IF(C205="sinapi","ok",IF(C205="orse","ok",IF(P205="título","título",IF(P205="intertítulo","intertítulo",""))))</f>
        <v/>
      </c>
    </row>
    <row r="206" spans="1:24" s="248" customFormat="1" ht="28.5" customHeight="1">
      <c r="A206" s="266" t="str">
        <f>IF(MID(N206,1,1)="R","RECUPERAR",VLOOKUP(N206,'auxiliar memoria'!$D$40:$E$47,2,FALSE))</f>
        <v>RECUPERAR</v>
      </c>
      <c r="B206" s="267" t="str">
        <f>IF(MID(N206,1,1)="R",VLOOKUP(O206,'auxiliar memoria'!$D$40:$E$47,2,FALSE),VLOOKUP(O206,'auxiliar memoria'!$G$122:$H$140,2,FALSE))</f>
        <v>CERÂMICA APARTIR DO PISO ATÉ 1,60M</v>
      </c>
      <c r="C206" s="256"/>
      <c r="D206" s="268" t="s">
        <v>359</v>
      </c>
      <c r="E206" s="269"/>
      <c r="F206" s="258"/>
      <c r="G206" s="259">
        <v>6.87</v>
      </c>
      <c r="H206" s="259"/>
      <c r="I206" s="259">
        <f>IF(MID(N206,1,1)="r",1.6,IF(VLOOKUP(B206,'auxiliar memoria'!$H$122:$J$141,3,FALSE)="TETO",H206,VLOOKUP(B206,'auxiliar memoria'!$H$122:$J$141,3,FALSE)))</f>
        <v>1.6</v>
      </c>
      <c r="J206" s="259">
        <f>I206*G206*20%</f>
        <v>2.1984000000000004</v>
      </c>
      <c r="K206" s="260"/>
      <c r="L206" s="260"/>
      <c r="M206" s="261"/>
      <c r="N206" s="262" t="s">
        <v>368</v>
      </c>
      <c r="O206" s="263">
        <v>2</v>
      </c>
      <c r="P206" s="247" t="s">
        <v>92</v>
      </c>
      <c r="Q206" s="263"/>
      <c r="R206" s="263"/>
      <c r="S206" s="263"/>
      <c r="T206" s="263"/>
      <c r="U206" s="263"/>
      <c r="V206" s="263"/>
      <c r="X206" s="264" t="str">
        <f>IF(C206="sinapi","ok",IF(C206="orse","ok",IF(P206="título","título",IF(P206="intertítulo","intertítulo",""))))</f>
        <v/>
      </c>
    </row>
    <row r="207" spans="1:24" s="4" customFormat="1" ht="26.25">
      <c r="A207" s="313" t="s">
        <v>341</v>
      </c>
      <c r="B207" s="230"/>
      <c r="N207" s="230"/>
    </row>
    <row r="208" spans="1:24" s="250" customFormat="1" ht="28.5" customHeight="1">
      <c r="A208" s="278" t="s">
        <v>187</v>
      </c>
      <c r="B208" s="279" t="s">
        <v>325</v>
      </c>
      <c r="C208" s="272"/>
      <c r="D208" s="280" t="s">
        <v>121</v>
      </c>
      <c r="E208" s="274"/>
      <c r="F208" s="273"/>
      <c r="G208" s="274">
        <v>31.22</v>
      </c>
      <c r="H208" s="274"/>
      <c r="I208" s="274">
        <v>1.8</v>
      </c>
      <c r="J208" s="274">
        <f>I208*G208</f>
        <v>56.195999999999998</v>
      </c>
      <c r="K208" s="275"/>
      <c r="L208" s="275"/>
      <c r="M208" s="276"/>
      <c r="N208" s="277">
        <v>1</v>
      </c>
      <c r="O208" s="188">
        <v>6</v>
      </c>
      <c r="P208" s="249" t="s">
        <v>92</v>
      </c>
      <c r="Q208" s="188"/>
      <c r="R208" s="188"/>
      <c r="S208" s="188"/>
      <c r="T208" s="188"/>
      <c r="U208" s="188"/>
      <c r="V208" s="188"/>
      <c r="X208" s="186" t="s">
        <v>92</v>
      </c>
    </row>
    <row r="209" spans="1:24" s="250" customFormat="1" ht="28.5" customHeight="1">
      <c r="A209" s="278" t="s">
        <v>187</v>
      </c>
      <c r="B209" s="279" t="s">
        <v>325</v>
      </c>
      <c r="C209" s="272"/>
      <c r="D209" s="280" t="s">
        <v>354</v>
      </c>
      <c r="E209" s="274"/>
      <c r="F209" s="273"/>
      <c r="G209" s="274">
        <v>18.22</v>
      </c>
      <c r="H209" s="274"/>
      <c r="I209" s="274">
        <v>1.8</v>
      </c>
      <c r="J209" s="274">
        <f t="shared" ref="J209:J214" si="21">I209*G209</f>
        <v>32.795999999999999</v>
      </c>
      <c r="K209" s="275"/>
      <c r="L209" s="275"/>
      <c r="M209" s="276"/>
      <c r="N209" s="277">
        <v>1</v>
      </c>
      <c r="O209" s="188">
        <v>6</v>
      </c>
      <c r="P209" s="249" t="s">
        <v>92</v>
      </c>
      <c r="Q209" s="188"/>
      <c r="R209" s="188"/>
      <c r="S209" s="188"/>
      <c r="T209" s="188"/>
      <c r="U209" s="188"/>
      <c r="V209" s="188"/>
      <c r="X209" s="186" t="s">
        <v>92</v>
      </c>
    </row>
    <row r="210" spans="1:24" s="250" customFormat="1" ht="28.5" customHeight="1">
      <c r="A210" s="278" t="s">
        <v>187</v>
      </c>
      <c r="B210" s="279" t="s">
        <v>325</v>
      </c>
      <c r="C210" s="272"/>
      <c r="D210" s="280" t="s">
        <v>355</v>
      </c>
      <c r="E210" s="282"/>
      <c r="F210" s="273"/>
      <c r="G210" s="274">
        <v>19.46</v>
      </c>
      <c r="H210" s="274"/>
      <c r="I210" s="274">
        <v>1.8</v>
      </c>
      <c r="J210" s="274">
        <f t="shared" si="21"/>
        <v>35.028000000000006</v>
      </c>
      <c r="K210" s="275"/>
      <c r="L210" s="275"/>
      <c r="M210" s="276"/>
      <c r="N210" s="277">
        <v>1</v>
      </c>
      <c r="O210" s="188">
        <v>6</v>
      </c>
      <c r="P210" s="249" t="s">
        <v>92</v>
      </c>
      <c r="Q210" s="188"/>
      <c r="R210" s="188"/>
      <c r="S210" s="188"/>
      <c r="T210" s="188"/>
      <c r="U210" s="188"/>
      <c r="V210" s="188"/>
      <c r="X210" s="186" t="s">
        <v>92</v>
      </c>
    </row>
    <row r="211" spans="1:24" s="250" customFormat="1" ht="28.5" customHeight="1">
      <c r="A211" s="278" t="s">
        <v>187</v>
      </c>
      <c r="B211" s="279" t="s">
        <v>325</v>
      </c>
      <c r="C211" s="272"/>
      <c r="D211" s="280" t="s">
        <v>356</v>
      </c>
      <c r="E211" s="274"/>
      <c r="F211" s="273"/>
      <c r="G211" s="274">
        <v>18.22</v>
      </c>
      <c r="H211" s="274"/>
      <c r="I211" s="274">
        <v>1.8</v>
      </c>
      <c r="J211" s="274">
        <f t="shared" si="21"/>
        <v>32.795999999999999</v>
      </c>
      <c r="K211" s="275"/>
      <c r="L211" s="275"/>
      <c r="M211" s="276"/>
      <c r="N211" s="277">
        <v>1</v>
      </c>
      <c r="O211" s="188">
        <v>6</v>
      </c>
      <c r="P211" s="249" t="s">
        <v>92</v>
      </c>
      <c r="Q211" s="188"/>
      <c r="R211" s="188"/>
      <c r="S211" s="188"/>
      <c r="T211" s="188"/>
      <c r="U211" s="188"/>
      <c r="V211" s="188"/>
      <c r="X211" s="186" t="s">
        <v>92</v>
      </c>
    </row>
    <row r="212" spans="1:24" s="250" customFormat="1" ht="28.5" customHeight="1">
      <c r="A212" s="278" t="s">
        <v>187</v>
      </c>
      <c r="B212" s="279" t="s">
        <v>325</v>
      </c>
      <c r="C212" s="272"/>
      <c r="D212" s="280" t="s">
        <v>357</v>
      </c>
      <c r="E212" s="282"/>
      <c r="F212" s="273"/>
      <c r="G212" s="274">
        <v>19.440000000000001</v>
      </c>
      <c r="H212" s="274"/>
      <c r="I212" s="274">
        <v>1.8</v>
      </c>
      <c r="J212" s="274">
        <f t="shared" si="21"/>
        <v>34.992000000000004</v>
      </c>
      <c r="K212" s="275"/>
      <c r="L212" s="275"/>
      <c r="M212" s="276"/>
      <c r="N212" s="277">
        <v>1</v>
      </c>
      <c r="O212" s="188">
        <v>6</v>
      </c>
      <c r="P212" s="249" t="s">
        <v>92</v>
      </c>
      <c r="Q212" s="188"/>
      <c r="R212" s="188"/>
      <c r="S212" s="188"/>
      <c r="T212" s="188"/>
      <c r="U212" s="188"/>
      <c r="V212" s="188"/>
      <c r="X212" s="186" t="s">
        <v>92</v>
      </c>
    </row>
    <row r="213" spans="1:24" s="250" customFormat="1" ht="28.5" customHeight="1">
      <c r="A213" s="278" t="s">
        <v>187</v>
      </c>
      <c r="B213" s="279" t="s">
        <v>322</v>
      </c>
      <c r="C213" s="272"/>
      <c r="D213" s="280" t="s">
        <v>360</v>
      </c>
      <c r="E213" s="274"/>
      <c r="F213" s="273"/>
      <c r="G213" s="274">
        <v>25.07</v>
      </c>
      <c r="H213" s="281"/>
      <c r="I213" s="274">
        <v>1.8</v>
      </c>
      <c r="J213" s="274">
        <f t="shared" si="21"/>
        <v>45.126000000000005</v>
      </c>
      <c r="K213" s="275"/>
      <c r="L213" s="275"/>
      <c r="M213" s="276"/>
      <c r="N213" s="277">
        <v>1</v>
      </c>
      <c r="O213" s="188">
        <v>1</v>
      </c>
      <c r="P213" s="249" t="s">
        <v>92</v>
      </c>
      <c r="Q213" s="188"/>
      <c r="R213" s="188"/>
      <c r="S213" s="188"/>
      <c r="T213" s="188"/>
      <c r="U213" s="188"/>
      <c r="V213" s="188"/>
      <c r="X213" s="186" t="s">
        <v>92</v>
      </c>
    </row>
    <row r="214" spans="1:24" s="250" customFormat="1" ht="28.5" customHeight="1">
      <c r="A214" s="278" t="s">
        <v>319</v>
      </c>
      <c r="B214" s="279" t="s">
        <v>322</v>
      </c>
      <c r="C214" s="272"/>
      <c r="D214" s="280" t="s">
        <v>362</v>
      </c>
      <c r="E214" s="282"/>
      <c r="F214" s="273"/>
      <c r="G214" s="274">
        <v>13.99</v>
      </c>
      <c r="H214" s="274"/>
      <c r="I214" s="274">
        <v>1.8</v>
      </c>
      <c r="J214" s="274">
        <f t="shared" si="21"/>
        <v>25.182000000000002</v>
      </c>
      <c r="K214" s="275"/>
      <c r="L214" s="275"/>
      <c r="M214" s="276"/>
      <c r="N214" s="277">
        <v>2</v>
      </c>
      <c r="O214" s="188">
        <v>1</v>
      </c>
      <c r="P214" s="249" t="s">
        <v>92</v>
      </c>
      <c r="Q214" s="188"/>
      <c r="R214" s="188"/>
      <c r="S214" s="188"/>
      <c r="T214" s="188"/>
      <c r="U214" s="188"/>
      <c r="V214" s="188"/>
      <c r="X214" s="186" t="s">
        <v>92</v>
      </c>
    </row>
    <row r="215" spans="1:24" s="4" customFormat="1" ht="26.25">
      <c r="A215" s="313" t="s">
        <v>342</v>
      </c>
      <c r="B215" s="230"/>
      <c r="J215" s="283"/>
      <c r="N215" s="230"/>
    </row>
    <row r="216" spans="1:24" s="292" customFormat="1" ht="28.5" customHeight="1">
      <c r="A216" s="315" t="s">
        <v>380</v>
      </c>
      <c r="B216" s="295" t="s">
        <v>327</v>
      </c>
      <c r="C216" s="284"/>
      <c r="D216" s="294" t="s">
        <v>361</v>
      </c>
      <c r="E216" s="285"/>
      <c r="F216" s="286"/>
      <c r="G216" s="287">
        <v>58.79999999999999</v>
      </c>
      <c r="H216" s="287"/>
      <c r="I216" s="287">
        <v>2.5499999999999998</v>
      </c>
      <c r="J216" s="287">
        <f>I216*G216</f>
        <v>149.93999999999997</v>
      </c>
      <c r="K216" s="288"/>
      <c r="L216" s="288"/>
      <c r="M216" s="289"/>
      <c r="N216" s="316">
        <v>3</v>
      </c>
      <c r="O216" s="290">
        <v>8</v>
      </c>
      <c r="P216" s="291" t="s">
        <v>92</v>
      </c>
      <c r="Q216" s="290"/>
      <c r="R216" s="290"/>
      <c r="S216" s="290"/>
      <c r="T216" s="290"/>
      <c r="U216" s="290"/>
      <c r="V216" s="290"/>
      <c r="X216" s="293" t="s">
        <v>92</v>
      </c>
    </row>
    <row r="217" spans="1:24" s="292" customFormat="1" ht="28.5" customHeight="1">
      <c r="A217" s="315" t="s">
        <v>380</v>
      </c>
      <c r="B217" s="295" t="s">
        <v>327</v>
      </c>
      <c r="C217" s="284"/>
      <c r="D217" s="294" t="s">
        <v>369</v>
      </c>
      <c r="E217" s="285"/>
      <c r="F217" s="286"/>
      <c r="G217" s="287">
        <v>5.6</v>
      </c>
      <c r="H217" s="287"/>
      <c r="I217" s="287">
        <v>2.5499999999999998</v>
      </c>
      <c r="J217" s="287">
        <f>I217*G217</f>
        <v>14.279999999999998</v>
      </c>
      <c r="K217" s="288"/>
      <c r="L217" s="288"/>
      <c r="M217" s="289"/>
      <c r="N217" s="316">
        <v>3</v>
      </c>
      <c r="O217" s="290">
        <v>8</v>
      </c>
      <c r="P217" s="291" t="s">
        <v>92</v>
      </c>
      <c r="Q217" s="290"/>
      <c r="R217" s="290"/>
      <c r="S217" s="290"/>
      <c r="T217" s="290"/>
      <c r="U217" s="290"/>
      <c r="V217" s="290"/>
      <c r="X217" s="293" t="s">
        <v>92</v>
      </c>
    </row>
    <row r="218" spans="1:24" s="292" customFormat="1" ht="28.5" customHeight="1">
      <c r="A218" s="315" t="s">
        <v>380</v>
      </c>
      <c r="B218" s="295" t="s">
        <v>327</v>
      </c>
      <c r="C218" s="284"/>
      <c r="D218" s="294" t="s">
        <v>353</v>
      </c>
      <c r="E218" s="285"/>
      <c r="F218" s="286"/>
      <c r="G218" s="287">
        <v>56.99</v>
      </c>
      <c r="H218" s="287"/>
      <c r="I218" s="287">
        <v>2.5499999999999998</v>
      </c>
      <c r="J218" s="287">
        <f>I218*G218</f>
        <v>145.3245</v>
      </c>
      <c r="K218" s="288"/>
      <c r="L218" s="288"/>
      <c r="M218" s="289"/>
      <c r="N218" s="316">
        <v>3</v>
      </c>
      <c r="O218" s="290">
        <v>8</v>
      </c>
      <c r="P218" s="291" t="s">
        <v>92</v>
      </c>
      <c r="Q218" s="290"/>
      <c r="R218" s="290"/>
      <c r="S218" s="290"/>
      <c r="T218" s="290"/>
      <c r="U218" s="290"/>
      <c r="V218" s="290"/>
      <c r="X218" s="293" t="s">
        <v>92</v>
      </c>
    </row>
    <row r="219" spans="1:24" s="292" customFormat="1" ht="28.5" customHeight="1">
      <c r="A219" s="315" t="s">
        <v>319</v>
      </c>
      <c r="B219" s="295" t="s">
        <v>327</v>
      </c>
      <c r="C219" s="284"/>
      <c r="D219" s="294" t="s">
        <v>364</v>
      </c>
      <c r="E219" s="296"/>
      <c r="F219" s="286"/>
      <c r="G219" s="287">
        <v>7.4899999999999993</v>
      </c>
      <c r="H219" s="287"/>
      <c r="I219" s="287">
        <v>2.5499999999999998</v>
      </c>
      <c r="J219" s="287">
        <f>I219*G219</f>
        <v>19.099499999999995</v>
      </c>
      <c r="K219" s="288"/>
      <c r="L219" s="288"/>
      <c r="M219" s="289"/>
      <c r="N219" s="316">
        <v>2</v>
      </c>
      <c r="O219" s="290">
        <v>8</v>
      </c>
      <c r="P219" s="291" t="s">
        <v>92</v>
      </c>
      <c r="Q219" s="290"/>
      <c r="R219" s="290"/>
      <c r="S219" s="290"/>
      <c r="T219" s="290"/>
      <c r="U219" s="290"/>
      <c r="V219" s="290"/>
      <c r="X219" s="293" t="s">
        <v>92</v>
      </c>
    </row>
    <row r="220" spans="1:24" s="4" customFormat="1" ht="26.25">
      <c r="A220" s="313" t="s">
        <v>390</v>
      </c>
      <c r="B220" s="230"/>
      <c r="J220" s="283"/>
      <c r="N220" s="230"/>
    </row>
    <row r="221" spans="1:24" s="329" customFormat="1" ht="28.5" customHeight="1">
      <c r="A221" s="317" t="s">
        <v>380</v>
      </c>
      <c r="B221" s="318" t="s">
        <v>324</v>
      </c>
      <c r="C221" s="319"/>
      <c r="D221" s="320" t="s">
        <v>370</v>
      </c>
      <c r="E221" s="321"/>
      <c r="F221" s="322"/>
      <c r="G221" s="323">
        <v>5.6</v>
      </c>
      <c r="H221" s="323"/>
      <c r="I221" s="323">
        <v>2.5499999999999998</v>
      </c>
      <c r="J221" s="323">
        <f>I221*G221</f>
        <v>14.279999999999998</v>
      </c>
      <c r="K221" s="324"/>
      <c r="L221" s="324"/>
      <c r="M221" s="325"/>
      <c r="N221" s="326">
        <v>3</v>
      </c>
      <c r="O221" s="327">
        <v>5</v>
      </c>
      <c r="P221" s="328" t="s">
        <v>92</v>
      </c>
      <c r="Q221" s="327"/>
      <c r="R221" s="327"/>
      <c r="S221" s="327"/>
      <c r="T221" s="327"/>
      <c r="U221" s="327"/>
      <c r="V221" s="327"/>
      <c r="X221" s="330" t="s">
        <v>92</v>
      </c>
    </row>
    <row r="222" spans="1:24" s="329" customFormat="1" ht="28.5" customHeight="1">
      <c r="A222" s="317" t="s">
        <v>319</v>
      </c>
      <c r="B222" s="318" t="s">
        <v>323</v>
      </c>
      <c r="C222" s="319"/>
      <c r="D222" s="320" t="s">
        <v>363</v>
      </c>
      <c r="E222" s="331"/>
      <c r="F222" s="322"/>
      <c r="G222" s="323">
        <v>7.1100000000000012</v>
      </c>
      <c r="H222" s="323"/>
      <c r="I222" s="323">
        <v>2.5499999999999998</v>
      </c>
      <c r="J222" s="323">
        <f>I222*G222</f>
        <v>18.130500000000001</v>
      </c>
      <c r="K222" s="324"/>
      <c r="L222" s="324"/>
      <c r="M222" s="325"/>
      <c r="N222" s="326">
        <v>2</v>
      </c>
      <c r="O222" s="327">
        <v>4</v>
      </c>
      <c r="P222" s="328" t="s">
        <v>92</v>
      </c>
      <c r="Q222" s="327"/>
      <c r="R222" s="327"/>
      <c r="S222" s="327"/>
      <c r="T222" s="327"/>
      <c r="U222" s="327"/>
      <c r="V222" s="327"/>
      <c r="X222" s="330" t="s">
        <v>92</v>
      </c>
    </row>
    <row r="223" spans="1:24" s="329" customFormat="1" ht="28.5" customHeight="1">
      <c r="A223" s="317" t="s">
        <v>319</v>
      </c>
      <c r="B223" s="318" t="s">
        <v>323</v>
      </c>
      <c r="C223" s="319"/>
      <c r="D223" s="320" t="s">
        <v>371</v>
      </c>
      <c r="E223" s="331"/>
      <c r="F223" s="322"/>
      <c r="G223" s="323">
        <v>2.1</v>
      </c>
      <c r="H223" s="323"/>
      <c r="I223" s="323">
        <v>2.5499999999999998</v>
      </c>
      <c r="J223" s="323">
        <f>I223*G223</f>
        <v>5.3549999999999995</v>
      </c>
      <c r="K223" s="324"/>
      <c r="L223" s="324"/>
      <c r="M223" s="325"/>
      <c r="N223" s="326">
        <v>2</v>
      </c>
      <c r="O223" s="327">
        <v>4</v>
      </c>
      <c r="P223" s="328" t="s">
        <v>92</v>
      </c>
      <c r="Q223" s="327"/>
      <c r="R223" s="327"/>
      <c r="S223" s="327"/>
      <c r="T223" s="327"/>
      <c r="U223" s="327"/>
      <c r="V223" s="327"/>
      <c r="X223" s="330" t="s">
        <v>92</v>
      </c>
    </row>
    <row r="224" spans="1:24" s="329" customFormat="1" ht="28.5" customHeight="1">
      <c r="A224" s="317" t="s">
        <v>319</v>
      </c>
      <c r="B224" s="318" t="s">
        <v>324</v>
      </c>
      <c r="C224" s="319"/>
      <c r="D224" s="320" t="s">
        <v>372</v>
      </c>
      <c r="E224" s="331"/>
      <c r="F224" s="322"/>
      <c r="G224" s="323">
        <v>2.46</v>
      </c>
      <c r="H224" s="323"/>
      <c r="I224" s="323">
        <v>2.5499999999999998</v>
      </c>
      <c r="J224" s="323">
        <f>I224*G224</f>
        <v>6.2729999999999997</v>
      </c>
      <c r="K224" s="324"/>
      <c r="L224" s="324"/>
      <c r="M224" s="325"/>
      <c r="N224" s="326">
        <v>2</v>
      </c>
      <c r="O224" s="327">
        <v>5</v>
      </c>
      <c r="P224" s="328" t="s">
        <v>92</v>
      </c>
      <c r="Q224" s="327"/>
      <c r="R224" s="327"/>
      <c r="S224" s="327"/>
      <c r="T224" s="327"/>
      <c r="U224" s="327"/>
      <c r="V224" s="327"/>
      <c r="X224" s="330" t="s">
        <v>92</v>
      </c>
    </row>
    <row r="231" spans="1:24" s="346" customFormat="1" ht="28.5" customHeight="1">
      <c r="A231" s="334" t="s">
        <v>316</v>
      </c>
      <c r="B231" s="335" t="s">
        <v>188</v>
      </c>
      <c r="C231" s="336"/>
      <c r="D231" s="337" t="s">
        <v>416</v>
      </c>
      <c r="E231" s="338"/>
      <c r="F231" s="339"/>
      <c r="G231" s="340"/>
      <c r="H231" s="341"/>
      <c r="I231" s="341"/>
      <c r="J231" s="341"/>
      <c r="K231" s="342"/>
      <c r="L231" s="342"/>
      <c r="M231" s="343"/>
      <c r="N231" s="344" t="s">
        <v>316</v>
      </c>
      <c r="O231" s="344" t="s">
        <v>188</v>
      </c>
      <c r="P231" s="345" t="s">
        <v>92</v>
      </c>
      <c r="Q231" s="344"/>
      <c r="R231" s="344"/>
      <c r="S231" s="344"/>
      <c r="T231" s="344"/>
      <c r="U231" s="344"/>
      <c r="V231" s="344"/>
      <c r="X231" s="347" t="str">
        <f>IF(C231="sinapi","ok",IF(C231="orse","ok",IF(P231="título","título",IF(P231="intertítulo","intertítulo",""))))</f>
        <v/>
      </c>
    </row>
    <row r="232" spans="1:24" s="292" customFormat="1" ht="28.5" customHeight="1">
      <c r="A232" s="315" t="str">
        <f>IF(N232="R","RECUPERAR",VLOOKUP(N232,'auxiliar memoria'!$F$40:$G$47,2,FALSE))</f>
        <v>CERÂMICA</v>
      </c>
      <c r="B232" s="295" t="str">
        <f>IF(N232="R",VLOOKUP(O232,'auxiliar memoria'!$F$41:$G$47,2,FALSE),VLOOKUP(O232,'auxiliar memoria'!$M$122:$N$128,2,FALSE))</f>
        <v>Piso em granilite, espessura mínima de 8mm,</v>
      </c>
      <c r="C232" s="284"/>
      <c r="D232" s="294" t="s">
        <v>109</v>
      </c>
      <c r="E232" s="285"/>
      <c r="F232" s="286"/>
      <c r="G232" s="287"/>
      <c r="H232" s="287"/>
      <c r="I232" s="287"/>
      <c r="J232" s="287">
        <v>56.35</v>
      </c>
      <c r="K232" s="288"/>
      <c r="L232" s="288"/>
      <c r="M232" s="289"/>
      <c r="N232" s="316">
        <v>2</v>
      </c>
      <c r="O232" s="290">
        <v>1</v>
      </c>
      <c r="P232" s="291" t="s">
        <v>92</v>
      </c>
      <c r="Q232" s="290"/>
      <c r="R232" s="290"/>
      <c r="S232" s="290"/>
      <c r="T232" s="290"/>
      <c r="U232" s="290"/>
      <c r="V232" s="290"/>
      <c r="X232" s="293" t="str">
        <f>IF(C232="sinapi","ok",IF(C232="orse","ok",IF(P232="título","título",IF(P232="intertítulo","intertítulo",""))))</f>
        <v/>
      </c>
    </row>
    <row r="233" spans="1:24" s="292" customFormat="1" ht="23.25">
      <c r="A233" s="315" t="str">
        <f>IF(N233="R","RECUPERAR",VLOOKUP(N233,'auxiliar memoria'!$F$40:$G$47,2,FALSE))</f>
        <v>CERÂMICA</v>
      </c>
      <c r="B233" s="295" t="str">
        <f>IF(N233="R",VLOOKUP(O233,'auxiliar memoria'!$F$41:$G$47,2,FALSE),VLOOKUP(O233,'auxiliar memoria'!$M$122:$N$128,2,FALSE))</f>
        <v>Piso em granilite, espessura mínima de 8mm,</v>
      </c>
      <c r="C233" s="284"/>
      <c r="D233" s="294" t="s">
        <v>110</v>
      </c>
      <c r="E233" s="285"/>
      <c r="F233" s="286"/>
      <c r="G233" s="287"/>
      <c r="H233" s="287"/>
      <c r="I233" s="287"/>
      <c r="J233" s="287">
        <v>55.75</v>
      </c>
      <c r="K233" s="288"/>
      <c r="L233" s="288"/>
      <c r="M233" s="289"/>
      <c r="N233" s="316">
        <v>2</v>
      </c>
      <c r="O233" s="290">
        <v>1</v>
      </c>
      <c r="P233" s="291" t="s">
        <v>92</v>
      </c>
      <c r="Q233" s="290"/>
      <c r="R233" s="290"/>
      <c r="S233" s="290"/>
      <c r="T233" s="290"/>
      <c r="U233" s="290"/>
      <c r="V233" s="290"/>
      <c r="X233" s="293" t="str">
        <f>IF(C233="sinapi","ok",IF(C233="orse","ok",IF(P233="título","título",IF(P233="intertítulo","intertítulo",""))))</f>
        <v/>
      </c>
    </row>
    <row r="234" spans="1:24" s="292" customFormat="1" ht="28.5" customHeight="1">
      <c r="A234" s="315" t="str">
        <f>IF(N234="R","RECUPERAR",VLOOKUP(N234,'auxiliar memoria'!$F$40:$G$47,2,FALSE))</f>
        <v>CERÂMICA</v>
      </c>
      <c r="B234" s="295" t="str">
        <f>IF(N234="R",VLOOKUP(O234,'auxiliar memoria'!$F$41:$G$47,2,FALSE),VLOOKUP(O234,'auxiliar memoria'!$M$122:$N$128,2,FALSE))</f>
        <v>Piso em granilite, espessura mínima de 8mm,</v>
      </c>
      <c r="C234" s="284"/>
      <c r="D234" s="294" t="s">
        <v>111</v>
      </c>
      <c r="E234" s="285"/>
      <c r="F234" s="286"/>
      <c r="G234" s="287"/>
      <c r="H234" s="287"/>
      <c r="I234" s="287"/>
      <c r="J234" s="287">
        <v>56.53</v>
      </c>
      <c r="K234" s="288"/>
      <c r="L234" s="288"/>
      <c r="M234" s="289"/>
      <c r="N234" s="316">
        <v>2</v>
      </c>
      <c r="O234" s="290">
        <v>1</v>
      </c>
      <c r="P234" s="291" t="s">
        <v>92</v>
      </c>
      <c r="Q234" s="290"/>
      <c r="R234" s="290"/>
      <c r="S234" s="290"/>
      <c r="T234" s="290"/>
      <c r="U234" s="290"/>
      <c r="V234" s="290"/>
      <c r="X234" s="293" t="str">
        <f>IF(C234="sinapi","ok",IF(C234="orse","ok",IF(P234="título","título",IF(P234="intertítulo","intertítulo",""))))</f>
        <v/>
      </c>
    </row>
    <row r="235" spans="1:24" s="292" customFormat="1" ht="28.5" customHeight="1">
      <c r="A235" s="315" t="str">
        <f>IF(N235="R","RECUPERAR",VLOOKUP(N235,'auxiliar memoria'!$F$40:$G$47,2,FALSE))</f>
        <v>CERÂMICA</v>
      </c>
      <c r="B235" s="295" t="str">
        <f>IF(N235="R",VLOOKUP(O235,'auxiliar memoria'!$F$41:$G$47,2,FALSE),VLOOKUP(O235,'auxiliar memoria'!$M$122:$N$128,2,FALSE))</f>
        <v>Piso em granilite, espessura mínima de 8mm,</v>
      </c>
      <c r="C235" s="284"/>
      <c r="D235" s="294" t="s">
        <v>112</v>
      </c>
      <c r="E235" s="285"/>
      <c r="F235" s="286"/>
      <c r="G235" s="287"/>
      <c r="H235" s="287"/>
      <c r="I235" s="287"/>
      <c r="J235" s="287">
        <v>56.14</v>
      </c>
      <c r="K235" s="288"/>
      <c r="L235" s="288"/>
      <c r="M235" s="289"/>
      <c r="N235" s="316">
        <v>2</v>
      </c>
      <c r="O235" s="290">
        <v>1</v>
      </c>
      <c r="P235" s="291" t="s">
        <v>92</v>
      </c>
      <c r="Q235" s="290"/>
      <c r="R235" s="290"/>
      <c r="S235" s="290"/>
      <c r="T235" s="290"/>
      <c r="U235" s="290"/>
      <c r="V235" s="290"/>
      <c r="X235" s="293" t="str">
        <f>IF(C235="sinapi","ok",IF(C235="orse","ok",IF(P235="título","título",IF(P235="intertítulo","intertítulo",""))))</f>
        <v/>
      </c>
    </row>
    <row r="236" spans="1:24" s="292" customFormat="1" ht="28.5" customHeight="1">
      <c r="A236" s="315" t="str">
        <f>IF(N236="R","RECUPERAR",VLOOKUP(N236,'auxiliar memoria'!$F$40:$G$47,2,FALSE))</f>
        <v>CERÂMICA</v>
      </c>
      <c r="B236" s="295" t="str">
        <f>IF(N236="R",VLOOKUP(O236,'auxiliar memoria'!$F$41:$G$47,2,FALSE),VLOOKUP(O236,'auxiliar memoria'!$M$122:$N$128,2,FALSE))</f>
        <v>Piso em granilite, espessura mínima de 8mm,</v>
      </c>
      <c r="C236" s="284"/>
      <c r="D236" s="294" t="s">
        <v>113</v>
      </c>
      <c r="E236" s="285"/>
      <c r="F236" s="286"/>
      <c r="G236" s="287"/>
      <c r="H236" s="287"/>
      <c r="I236" s="287"/>
      <c r="J236" s="287">
        <v>53.34</v>
      </c>
      <c r="K236" s="288"/>
      <c r="L236" s="288"/>
      <c r="M236" s="289"/>
      <c r="N236" s="316">
        <v>2</v>
      </c>
      <c r="O236" s="290">
        <v>1</v>
      </c>
      <c r="P236" s="291" t="s">
        <v>92</v>
      </c>
      <c r="Q236" s="290"/>
      <c r="R236" s="290"/>
      <c r="S236" s="290"/>
      <c r="T236" s="290"/>
      <c r="U236" s="290"/>
      <c r="V236" s="290"/>
      <c r="X236" s="293" t="str">
        <f t="shared" ref="X236:X248" si="22">IF(C236="sinapi","ok",IF(C236="orse","ok",IF(P236="título","título",IF(P236="intertítulo","intertítulo",""))))</f>
        <v/>
      </c>
    </row>
    <row r="237" spans="1:24" s="292" customFormat="1" ht="28.5" customHeight="1">
      <c r="A237" s="315" t="str">
        <f>IF(N237="R","RECUPERAR",VLOOKUP(N237,'auxiliar memoria'!$F$40:$G$47,2,FALSE))</f>
        <v>CERÂMICA</v>
      </c>
      <c r="B237" s="295" t="str">
        <f>IF(N237="R",VLOOKUP(O237,'auxiliar memoria'!$F$41:$G$47,2,FALSE),VLOOKUP(O237,'auxiliar memoria'!$M$122:$N$128,2,FALSE))</f>
        <v>Piso em granilite, espessura mínima de 8mm,</v>
      </c>
      <c r="C237" s="284"/>
      <c r="D237" s="294" t="s">
        <v>114</v>
      </c>
      <c r="E237" s="285"/>
      <c r="F237" s="286"/>
      <c r="G237" s="287"/>
      <c r="H237" s="287"/>
      <c r="I237" s="287"/>
      <c r="J237" s="287">
        <v>56.04</v>
      </c>
      <c r="K237" s="288"/>
      <c r="L237" s="288"/>
      <c r="M237" s="289"/>
      <c r="N237" s="316">
        <v>2</v>
      </c>
      <c r="O237" s="290">
        <v>1</v>
      </c>
      <c r="P237" s="291" t="s">
        <v>92</v>
      </c>
      <c r="Q237" s="290"/>
      <c r="R237" s="290"/>
      <c r="S237" s="290"/>
      <c r="T237" s="290"/>
      <c r="U237" s="290"/>
      <c r="V237" s="290"/>
      <c r="X237" s="293" t="str">
        <f t="shared" si="22"/>
        <v/>
      </c>
    </row>
    <row r="238" spans="1:24" s="292" customFormat="1" ht="28.5" customHeight="1">
      <c r="A238" s="315" t="str">
        <f>IF(N238="R","RECUPERAR",VLOOKUP(N238,'auxiliar memoria'!$F$40:$G$47,2,FALSE))</f>
        <v>CERÂMICA</v>
      </c>
      <c r="B238" s="295" t="str">
        <f>IF(N238="R",VLOOKUP(O238,'auxiliar memoria'!$F$41:$G$47,2,FALSE),VLOOKUP(O238,'auxiliar memoria'!$M$122:$N$128,2,FALSE))</f>
        <v>Piso em granilite, espessura mínima de 8mm,</v>
      </c>
      <c r="C238" s="284"/>
      <c r="D238" s="294" t="s">
        <v>115</v>
      </c>
      <c r="E238" s="296"/>
      <c r="F238" s="286"/>
      <c r="G238" s="287"/>
      <c r="H238" s="287"/>
      <c r="I238" s="287"/>
      <c r="J238" s="287">
        <v>56.31</v>
      </c>
      <c r="K238" s="288"/>
      <c r="L238" s="288"/>
      <c r="M238" s="289"/>
      <c r="N238" s="316">
        <v>2</v>
      </c>
      <c r="O238" s="290">
        <v>1</v>
      </c>
      <c r="P238" s="291" t="s">
        <v>92</v>
      </c>
      <c r="Q238" s="290"/>
      <c r="R238" s="290"/>
      <c r="S238" s="290"/>
      <c r="T238" s="290"/>
      <c r="U238" s="290"/>
      <c r="V238" s="290"/>
      <c r="X238" s="293" t="str">
        <f t="shared" si="22"/>
        <v/>
      </c>
    </row>
    <row r="239" spans="1:24" s="292" customFormat="1" ht="28.5" customHeight="1">
      <c r="A239" s="315" t="str">
        <f>IF(N239="R","RECUPERAR",VLOOKUP(N239,'auxiliar memoria'!$F$40:$G$47,2,FALSE))</f>
        <v>CERÂMICA</v>
      </c>
      <c r="B239" s="295" t="str">
        <f>IF(N239="R",VLOOKUP(O239,'auxiliar memoria'!$F$41:$G$47,2,FALSE),VLOOKUP(O239,'auxiliar memoria'!$M$122:$N$128,2,FALSE))</f>
        <v>Piso em granilite, espessura mínima de 8mm,</v>
      </c>
      <c r="C239" s="284"/>
      <c r="D239" s="294" t="s">
        <v>116</v>
      </c>
      <c r="E239" s="296"/>
      <c r="F239" s="286"/>
      <c r="G239" s="287"/>
      <c r="H239" s="287"/>
      <c r="I239" s="287"/>
      <c r="J239" s="287">
        <v>56.49</v>
      </c>
      <c r="K239" s="288"/>
      <c r="L239" s="288"/>
      <c r="M239" s="289"/>
      <c r="N239" s="316">
        <v>2</v>
      </c>
      <c r="O239" s="290">
        <v>1</v>
      </c>
      <c r="P239" s="291" t="s">
        <v>92</v>
      </c>
      <c r="Q239" s="290"/>
      <c r="R239" s="290"/>
      <c r="S239" s="290"/>
      <c r="T239" s="290"/>
      <c r="U239" s="290"/>
      <c r="V239" s="290"/>
      <c r="X239" s="293" t="str">
        <f t="shared" si="22"/>
        <v/>
      </c>
    </row>
    <row r="240" spans="1:24" s="292" customFormat="1" ht="28.5" customHeight="1">
      <c r="A240" s="315" t="str">
        <f>IF(N240="R","RECUPERAR",VLOOKUP(N240,'auxiliar memoria'!$F$40:$G$47,2,FALSE))</f>
        <v>CERÂMICA</v>
      </c>
      <c r="B240" s="295" t="str">
        <f>IF(N240="R",VLOOKUP(O240,'auxiliar memoria'!$F$41:$G$47,2,FALSE),VLOOKUP(O240,'auxiliar memoria'!$M$122:$N$128,2,FALSE))</f>
        <v>Piso em granilite, espessura mínima de 8mm,</v>
      </c>
      <c r="C240" s="284"/>
      <c r="D240" s="294" t="s">
        <v>176</v>
      </c>
      <c r="E240" s="287"/>
      <c r="F240" s="286"/>
      <c r="G240" s="287"/>
      <c r="H240" s="349"/>
      <c r="I240" s="287"/>
      <c r="J240" s="287">
        <v>57.03</v>
      </c>
      <c r="K240" s="288"/>
      <c r="L240" s="288"/>
      <c r="M240" s="289"/>
      <c r="N240" s="316">
        <v>2</v>
      </c>
      <c r="O240" s="290">
        <v>1</v>
      </c>
      <c r="P240" s="291" t="s">
        <v>92</v>
      </c>
      <c r="Q240" s="290"/>
      <c r="R240" s="290"/>
      <c r="S240" s="290"/>
      <c r="T240" s="290"/>
      <c r="U240" s="290"/>
      <c r="V240" s="290"/>
      <c r="X240" s="293" t="str">
        <f t="shared" si="22"/>
        <v/>
      </c>
    </row>
    <row r="241" spans="1:24" s="292" customFormat="1" ht="28.5" customHeight="1">
      <c r="A241" s="315" t="str">
        <f>IF(N241="R","RECUPERAR",VLOOKUP(N241,'auxiliar memoria'!$F$40:$G$47,2,FALSE))</f>
        <v>CERÂMICA</v>
      </c>
      <c r="B241" s="295" t="str">
        <f>IF(N241="R",VLOOKUP(O241,'auxiliar memoria'!$F$41:$G$47,2,FALSE),VLOOKUP(O241,'auxiliar memoria'!$M$122:$N$128,2,FALSE))</f>
        <v>Piso em granilite, espessura mínima de 8mm,</v>
      </c>
      <c r="C241" s="284"/>
      <c r="D241" s="294" t="s">
        <v>175</v>
      </c>
      <c r="E241" s="287"/>
      <c r="F241" s="286"/>
      <c r="G241" s="287"/>
      <c r="H241" s="349"/>
      <c r="I241" s="287"/>
      <c r="J241" s="287">
        <v>56.4</v>
      </c>
      <c r="K241" s="288"/>
      <c r="L241" s="288"/>
      <c r="M241" s="289"/>
      <c r="N241" s="316">
        <v>2</v>
      </c>
      <c r="O241" s="290">
        <v>1</v>
      </c>
      <c r="P241" s="291" t="s">
        <v>92</v>
      </c>
      <c r="Q241" s="290"/>
      <c r="R241" s="290"/>
      <c r="S241" s="290"/>
      <c r="T241" s="290"/>
      <c r="U241" s="290"/>
      <c r="V241" s="290"/>
      <c r="X241" s="293" t="str">
        <f t="shared" si="22"/>
        <v/>
      </c>
    </row>
    <row r="242" spans="1:24" s="292" customFormat="1" ht="28.5" customHeight="1">
      <c r="A242" s="315" t="str">
        <f>IF(N242="R","RECUPERAR",VLOOKUP(N242,'auxiliar memoria'!$F$40:$G$47,2,FALSE))</f>
        <v>CERÂMICA</v>
      </c>
      <c r="B242" s="295" t="str">
        <f>IF(N242="R",VLOOKUP(O242,'auxiliar memoria'!$F$41:$G$47,2,FALSE),VLOOKUP(O242,'auxiliar memoria'!$M$122:$N$128,2,FALSE))</f>
        <v>Piso em granilite, espessura mínima de 8mm,</v>
      </c>
      <c r="C242" s="284"/>
      <c r="D242" s="294" t="s">
        <v>174</v>
      </c>
      <c r="E242" s="296"/>
      <c r="F242" s="286"/>
      <c r="G242" s="287"/>
      <c r="H242" s="287"/>
      <c r="I242" s="287"/>
      <c r="J242" s="287">
        <v>56.4</v>
      </c>
      <c r="K242" s="288"/>
      <c r="L242" s="288"/>
      <c r="M242" s="289"/>
      <c r="N242" s="316">
        <v>2</v>
      </c>
      <c r="O242" s="290">
        <v>1</v>
      </c>
      <c r="P242" s="291" t="s">
        <v>92</v>
      </c>
      <c r="Q242" s="290"/>
      <c r="R242" s="290"/>
      <c r="S242" s="290"/>
      <c r="T242" s="290"/>
      <c r="U242" s="290"/>
      <c r="V242" s="290"/>
      <c r="X242" s="293" t="str">
        <f t="shared" si="22"/>
        <v/>
      </c>
    </row>
    <row r="243" spans="1:24" s="292" customFormat="1" ht="28.5" customHeight="1">
      <c r="A243" s="315" t="str">
        <f>IF(N243="R","RECUPERAR",VLOOKUP(N243,'auxiliar memoria'!$F$40:$G$47,2,FALSE))</f>
        <v>CERÂMICA</v>
      </c>
      <c r="B243" s="295" t="str">
        <f>IF(N243="R",VLOOKUP(O243,'auxiliar memoria'!$F$41:$G$47,2,FALSE),VLOOKUP(O243,'auxiliar memoria'!$M$122:$N$128,2,FALSE))</f>
        <v>Piso em granilite, espessura mínima de 8mm,</v>
      </c>
      <c r="C243" s="284"/>
      <c r="D243" s="294" t="s">
        <v>121</v>
      </c>
      <c r="E243" s="287"/>
      <c r="F243" s="286"/>
      <c r="G243" s="287"/>
      <c r="H243" s="287"/>
      <c r="I243" s="287"/>
      <c r="J243" s="287">
        <v>55.61</v>
      </c>
      <c r="K243" s="288"/>
      <c r="L243" s="288"/>
      <c r="M243" s="289"/>
      <c r="N243" s="316">
        <v>2</v>
      </c>
      <c r="O243" s="290">
        <v>1</v>
      </c>
      <c r="P243" s="291" t="s">
        <v>92</v>
      </c>
      <c r="Q243" s="290"/>
      <c r="R243" s="290"/>
      <c r="S243" s="290"/>
      <c r="T243" s="290"/>
      <c r="U243" s="290"/>
      <c r="V243" s="290"/>
      <c r="X243" s="293" t="str">
        <f t="shared" si="22"/>
        <v/>
      </c>
    </row>
    <row r="244" spans="1:24" s="292" customFormat="1" ht="28.5" customHeight="1">
      <c r="A244" s="315" t="str">
        <f>IF(N244="R","RECUPERAR",VLOOKUP(N244,'auxiliar memoria'!$F$40:$G$47,2,FALSE))</f>
        <v>CERÂMICA</v>
      </c>
      <c r="B244" s="295" t="str">
        <f>IF(N244="R",VLOOKUP(O244,'auxiliar memoria'!$F$41:$G$47,2,FALSE),VLOOKUP(O244,'auxiliar memoria'!$M$122:$N$128,2,FALSE))</f>
        <v>Piso em granilite, espessura mínima de 8mm,</v>
      </c>
      <c r="C244" s="284"/>
      <c r="D244" s="294" t="s">
        <v>354</v>
      </c>
      <c r="E244" s="287"/>
      <c r="F244" s="286"/>
      <c r="G244" s="287"/>
      <c r="H244" s="287"/>
      <c r="I244" s="287"/>
      <c r="J244" s="287">
        <v>20.66</v>
      </c>
      <c r="K244" s="288"/>
      <c r="L244" s="288"/>
      <c r="M244" s="289"/>
      <c r="N244" s="316">
        <v>2</v>
      </c>
      <c r="O244" s="290">
        <v>1</v>
      </c>
      <c r="P244" s="291" t="s">
        <v>92</v>
      </c>
      <c r="Q244" s="290"/>
      <c r="R244" s="290"/>
      <c r="S244" s="290"/>
      <c r="T244" s="290"/>
      <c r="U244" s="290"/>
      <c r="V244" s="290"/>
      <c r="X244" s="293" t="str">
        <f t="shared" si="22"/>
        <v/>
      </c>
    </row>
    <row r="245" spans="1:24" s="292" customFormat="1" ht="28.5" customHeight="1">
      <c r="A245" s="315" t="str">
        <f>IF(N245="R","RECUPERAR",VLOOKUP(N245,'auxiliar memoria'!$F$40:$G$47,2,FALSE))</f>
        <v>CERÂMICA</v>
      </c>
      <c r="B245" s="295" t="str">
        <f>IF(N245="R",VLOOKUP(O245,'auxiliar memoria'!$F$41:$G$47,2,FALSE),VLOOKUP(O245,'auxiliar memoria'!$M$122:$N$128,2,FALSE))</f>
        <v>Piso em granilite, espessura mínima de 8mm,</v>
      </c>
      <c r="C245" s="284"/>
      <c r="D245" s="294" t="s">
        <v>355</v>
      </c>
      <c r="E245" s="296"/>
      <c r="F245" s="286"/>
      <c r="G245" s="287"/>
      <c r="H245" s="287"/>
      <c r="I245" s="287"/>
      <c r="J245" s="287">
        <v>23.67</v>
      </c>
      <c r="K245" s="288"/>
      <c r="L245" s="288"/>
      <c r="M245" s="289"/>
      <c r="N245" s="316">
        <v>2</v>
      </c>
      <c r="O245" s="290">
        <v>1</v>
      </c>
      <c r="P245" s="291" t="s">
        <v>92</v>
      </c>
      <c r="Q245" s="290"/>
      <c r="R245" s="290"/>
      <c r="S245" s="290"/>
      <c r="T245" s="290"/>
      <c r="U245" s="290"/>
      <c r="V245" s="290"/>
      <c r="X245" s="293" t="str">
        <f t="shared" si="22"/>
        <v/>
      </c>
    </row>
    <row r="246" spans="1:24" s="292" customFormat="1" ht="28.5" customHeight="1">
      <c r="A246" s="315" t="str">
        <f>IF(N246="R","RECUPERAR",VLOOKUP(N246,'auxiliar memoria'!$F$40:$G$47,2,FALSE))</f>
        <v>CERÂMICA</v>
      </c>
      <c r="B246" s="295" t="str">
        <f>IF(N246="R",VLOOKUP(O246,'auxiliar memoria'!$F$41:$G$47,2,FALSE),VLOOKUP(O246,'auxiliar memoria'!$M$122:$N$128,2,FALSE))</f>
        <v>Piso em granilite, espessura mínima de 8mm,</v>
      </c>
      <c r="C246" s="284"/>
      <c r="D246" s="294" t="s">
        <v>356</v>
      </c>
      <c r="E246" s="287"/>
      <c r="F246" s="286"/>
      <c r="G246" s="287"/>
      <c r="H246" s="349"/>
      <c r="I246" s="287"/>
      <c r="J246" s="287">
        <v>19.21</v>
      </c>
      <c r="K246" s="288"/>
      <c r="L246" s="288"/>
      <c r="M246" s="289"/>
      <c r="N246" s="316">
        <v>2</v>
      </c>
      <c r="O246" s="290">
        <v>1</v>
      </c>
      <c r="P246" s="291" t="s">
        <v>92</v>
      </c>
      <c r="Q246" s="290"/>
      <c r="R246" s="290"/>
      <c r="S246" s="290"/>
      <c r="T246" s="290"/>
      <c r="U246" s="290"/>
      <c r="V246" s="290"/>
      <c r="X246" s="293" t="str">
        <f t="shared" si="22"/>
        <v/>
      </c>
    </row>
    <row r="247" spans="1:24" s="292" customFormat="1" ht="28.5" customHeight="1">
      <c r="A247" s="315" t="str">
        <f>IF(N247="R","RECUPERAR",VLOOKUP(N247,'auxiliar memoria'!$F$40:$G$47,2,FALSE))</f>
        <v>CERÂMICA</v>
      </c>
      <c r="B247" s="295" t="str">
        <f>IF(N247="R",VLOOKUP(O247,'auxiliar memoria'!$F$41:$G$47,2,FALSE),VLOOKUP(O247,'auxiliar memoria'!$M$122:$N$128,2,FALSE))</f>
        <v>Piso em granilite, espessura mínima de 8mm,</v>
      </c>
      <c r="C247" s="284"/>
      <c r="D247" s="294" t="s">
        <v>357</v>
      </c>
      <c r="E247" s="296"/>
      <c r="F247" s="286"/>
      <c r="G247" s="287"/>
      <c r="H247" s="287"/>
      <c r="I247" s="287"/>
      <c r="J247" s="287">
        <v>23.62</v>
      </c>
      <c r="K247" s="288"/>
      <c r="L247" s="288"/>
      <c r="M247" s="289"/>
      <c r="N247" s="316">
        <v>2</v>
      </c>
      <c r="O247" s="290">
        <v>1</v>
      </c>
      <c r="P247" s="291" t="s">
        <v>92</v>
      </c>
      <c r="Q247" s="290"/>
      <c r="R247" s="290"/>
      <c r="S247" s="290"/>
      <c r="T247" s="290"/>
      <c r="U247" s="290"/>
      <c r="V247" s="290"/>
      <c r="X247" s="293" t="str">
        <f t="shared" si="22"/>
        <v/>
      </c>
    </row>
    <row r="248" spans="1:24" s="362" customFormat="1" ht="28.5" customHeight="1">
      <c r="A248" s="350" t="str">
        <f>IF(N248="R","RECUPERAR",VLOOKUP(N248,'auxiliar memoria'!$F$40:$G$47,2,FALSE))</f>
        <v>RECUPERAR</v>
      </c>
      <c r="B248" s="351" t="str">
        <f>IF(N248="R",VLOOKUP(O248,'auxiliar memoria'!$F$41:$G$47,2,FALSE),VLOOKUP(O248,'auxiliar memoria'!$M$122:$N$128,2,FALSE))</f>
        <v>CERÂMICA</v>
      </c>
      <c r="C248" s="352"/>
      <c r="D248" s="353" t="s">
        <v>358</v>
      </c>
      <c r="E248" s="354"/>
      <c r="F248" s="355"/>
      <c r="G248" s="356"/>
      <c r="H248" s="356"/>
      <c r="I248" s="356"/>
      <c r="J248" s="356">
        <v>2.71</v>
      </c>
      <c r="K248" s="357"/>
      <c r="L248" s="357"/>
      <c r="M248" s="358"/>
      <c r="N248" s="359" t="s">
        <v>48</v>
      </c>
      <c r="O248" s="360">
        <v>2</v>
      </c>
      <c r="P248" s="361" t="s">
        <v>92</v>
      </c>
      <c r="Q248" s="360"/>
      <c r="R248" s="360"/>
      <c r="S248" s="360"/>
      <c r="T248" s="360"/>
      <c r="U248" s="360"/>
      <c r="V248" s="360"/>
      <c r="X248" s="363" t="str">
        <f t="shared" si="22"/>
        <v/>
      </c>
    </row>
    <row r="249" spans="1:24" s="362" customFormat="1" ht="28.5" customHeight="1">
      <c r="A249" s="350" t="str">
        <f>IF(N249="R","RECUPERAR",VLOOKUP(N249,'auxiliar memoria'!$F$40:$G$47,2,FALSE))</f>
        <v>RECUPERAR</v>
      </c>
      <c r="B249" s="351" t="str">
        <f>IF(N249="R",VLOOKUP(O249,'auxiliar memoria'!$F$41:$G$47,2,FALSE),VLOOKUP(O249,'auxiliar memoria'!$M$122:$N$128,2,FALSE))</f>
        <v>CERÂMICA</v>
      </c>
      <c r="C249" s="352"/>
      <c r="D249" s="353" t="s">
        <v>359</v>
      </c>
      <c r="E249" s="354"/>
      <c r="F249" s="355"/>
      <c r="G249" s="356"/>
      <c r="H249" s="356"/>
      <c r="I249" s="356"/>
      <c r="J249" s="356">
        <v>2.81</v>
      </c>
      <c r="K249" s="357"/>
      <c r="L249" s="357"/>
      <c r="M249" s="358"/>
      <c r="N249" s="359" t="s">
        <v>48</v>
      </c>
      <c r="O249" s="360">
        <v>2</v>
      </c>
      <c r="P249" s="361" t="s">
        <v>92</v>
      </c>
      <c r="Q249" s="360"/>
      <c r="R249" s="360"/>
      <c r="S249" s="360"/>
      <c r="T249" s="360"/>
      <c r="U249" s="360"/>
      <c r="V249" s="360"/>
      <c r="X249" s="363" t="str">
        <f>IF(C249="sinapi","ok",IF(C249="orse","ok",IF(P249="título","título",IF(P249="intertítulo","intertítulo",""))))</f>
        <v/>
      </c>
    </row>
    <row r="250" spans="1:24" s="292" customFormat="1" ht="28.5" customHeight="1">
      <c r="A250" s="315" t="str">
        <f>IF(N250="R","RECUPERAR",VLOOKUP(N250,'auxiliar memoria'!$F$40:$G$47,2,FALSE))</f>
        <v>CERÂMICA</v>
      </c>
      <c r="B250" s="295" t="str">
        <f>IF(N250="R",VLOOKUP(O250,'auxiliar memoria'!$F$41:$G$47,2,FALSE),VLOOKUP(O250,'auxiliar memoria'!$M$122:$N$128,2,FALSE))</f>
        <v>Piso em granilite, espessura mínima de 8mm,</v>
      </c>
      <c r="C250" s="284"/>
      <c r="D250" s="294" t="s">
        <v>360</v>
      </c>
      <c r="E250" s="287"/>
      <c r="F250" s="286"/>
      <c r="G250" s="287"/>
      <c r="H250" s="349"/>
      <c r="I250" s="287"/>
      <c r="J250" s="287">
        <v>19.05</v>
      </c>
      <c r="K250" s="288"/>
      <c r="L250" s="288"/>
      <c r="M250" s="289"/>
      <c r="N250" s="316">
        <v>2</v>
      </c>
      <c r="O250" s="290">
        <v>1</v>
      </c>
      <c r="P250" s="291" t="s">
        <v>92</v>
      </c>
      <c r="Q250" s="290"/>
      <c r="R250" s="290"/>
      <c r="S250" s="290"/>
      <c r="T250" s="290"/>
      <c r="U250" s="290"/>
      <c r="V250" s="290"/>
      <c r="X250" s="293" t="str">
        <f>IF(C250="sinapi","ok",IF(C250="orse","ok",IF(P250="título","título",IF(P250="intertítulo","intertítulo",""))))</f>
        <v/>
      </c>
    </row>
    <row r="251" spans="1:24" s="248" customFormat="1" ht="28.5" customHeight="1">
      <c r="A251" s="266" t="str">
        <f>IF(N251="R","RECUPERAR",VLOOKUP(N251,'auxiliar memoria'!$F$40:$G$47,2,FALSE))</f>
        <v>GRANILITE</v>
      </c>
      <c r="B251" s="267" t="str">
        <f>IF(N251="R",VLOOKUP(O251,'auxiliar memoria'!$F$41:$G$47,2,FALSE),VLOOKUP(O251,'auxiliar memoria'!$M$122:$N$128,2,FALSE))</f>
        <v>Piso em granilite, espessura mínima de 8mm,</v>
      </c>
      <c r="C251" s="256"/>
      <c r="D251" s="268" t="s">
        <v>365</v>
      </c>
      <c r="E251" s="259"/>
      <c r="F251" s="258"/>
      <c r="G251" s="259"/>
      <c r="H251" s="271"/>
      <c r="I251" s="259"/>
      <c r="J251" s="259">
        <v>243.65</v>
      </c>
      <c r="K251" s="260"/>
      <c r="L251" s="260"/>
      <c r="M251" s="261"/>
      <c r="N251" s="262">
        <v>1</v>
      </c>
      <c r="O251" s="263">
        <v>1</v>
      </c>
      <c r="P251" s="247" t="s">
        <v>92</v>
      </c>
      <c r="Q251" s="263"/>
      <c r="R251" s="263"/>
      <c r="S251" s="263"/>
      <c r="T251" s="263"/>
      <c r="U251" s="263"/>
      <c r="V251" s="263"/>
      <c r="X251" s="264" t="str">
        <f>IF(C251="sinapi","ok",IF(C251="orse","ok",IF(P251="título","título",IF(P251="intertítulo","intertítulo",""))))</f>
        <v/>
      </c>
    </row>
    <row r="252" spans="1:24" s="362" customFormat="1" ht="28.5" customHeight="1">
      <c r="A252" s="350" t="str">
        <f>IF(N252="R","RECUPERAR",VLOOKUP(N252,'auxiliar memoria'!$F$40:$G$47,2,FALSE))</f>
        <v>CERÂMICA</v>
      </c>
      <c r="B252" s="351" t="str">
        <f>IF(N252="R",VLOOKUP(O252,'auxiliar memoria'!$F$41:$G$47,2,FALSE),VLOOKUP(O252,'auxiliar memoria'!$M$122:$N$128,2,FALSE))</f>
        <v>Porcelanato branco, antiderrapante, dimensões 45x45cm</v>
      </c>
      <c r="C252" s="352"/>
      <c r="D252" s="353" t="s">
        <v>361</v>
      </c>
      <c r="E252" s="364"/>
      <c r="F252" s="355"/>
      <c r="G252" s="356"/>
      <c r="H252" s="356"/>
      <c r="I252" s="356"/>
      <c r="J252" s="356">
        <v>38.479999999999997</v>
      </c>
      <c r="K252" s="357"/>
      <c r="L252" s="357"/>
      <c r="M252" s="358"/>
      <c r="N252" s="359">
        <v>2</v>
      </c>
      <c r="O252" s="360">
        <v>3</v>
      </c>
      <c r="P252" s="361"/>
      <c r="Q252" s="360"/>
      <c r="R252" s="360"/>
      <c r="S252" s="360"/>
      <c r="T252" s="360"/>
      <c r="U252" s="360"/>
      <c r="V252" s="360"/>
      <c r="X252" s="363"/>
    </row>
    <row r="253" spans="1:24" s="362" customFormat="1" ht="28.5" customHeight="1">
      <c r="A253" s="350" t="str">
        <f>IF(N253="R","RECUPERAR",VLOOKUP(N253,'auxiliar memoria'!$F$40:$G$47,2,FALSE))</f>
        <v>CERÂMICA</v>
      </c>
      <c r="B253" s="351" t="str">
        <f>IF(N253="R",VLOOKUP(O253,'auxiliar memoria'!$F$41:$G$47,2,FALSE),VLOOKUP(O253,'auxiliar memoria'!$M$122:$N$128,2,FALSE))</f>
        <v>Porcelanato branco, antiderrapante, dimensões 45x45cm</v>
      </c>
      <c r="C253" s="352"/>
      <c r="D253" s="353" t="s">
        <v>353</v>
      </c>
      <c r="E253" s="364"/>
      <c r="F253" s="355"/>
      <c r="G253" s="356"/>
      <c r="H253" s="356"/>
      <c r="I253" s="356"/>
      <c r="J253" s="356">
        <v>37.01</v>
      </c>
      <c r="K253" s="357"/>
      <c r="L253" s="357"/>
      <c r="M253" s="358"/>
      <c r="N253" s="359">
        <v>2</v>
      </c>
      <c r="O253" s="360">
        <v>3</v>
      </c>
      <c r="P253" s="361"/>
      <c r="Q253" s="360"/>
      <c r="R253" s="360"/>
      <c r="S253" s="360"/>
      <c r="T253" s="360"/>
      <c r="U253" s="360"/>
      <c r="V253" s="360"/>
      <c r="X253" s="363"/>
    </row>
    <row r="254" spans="1:24" s="292" customFormat="1" ht="28.5" customHeight="1">
      <c r="A254" s="315" t="str">
        <f>IF(N254="R","RECUPERAR",VLOOKUP(N254,'auxiliar memoria'!$F$40:$G$47,2,FALSE))</f>
        <v>CERÂMICA</v>
      </c>
      <c r="B254" s="295" t="str">
        <f>IF(N254="R",VLOOKUP(O254,'auxiliar memoria'!$F$41:$G$47,2,FALSE),VLOOKUP(O254,'auxiliar memoria'!$M$122:$N$128,2,FALSE))</f>
        <v>Piso em granilite, espessura mínima de 8mm,</v>
      </c>
      <c r="C254" s="284"/>
      <c r="D254" s="294" t="s">
        <v>179</v>
      </c>
      <c r="E254" s="285"/>
      <c r="F254" s="286"/>
      <c r="G254" s="287"/>
      <c r="H254" s="287"/>
      <c r="I254" s="287"/>
      <c r="J254" s="287">
        <v>19.25</v>
      </c>
      <c r="K254" s="288"/>
      <c r="L254" s="288"/>
      <c r="M254" s="289"/>
      <c r="N254" s="316">
        <v>2</v>
      </c>
      <c r="O254" s="290">
        <v>1</v>
      </c>
      <c r="P254" s="291"/>
      <c r="Q254" s="290"/>
      <c r="R254" s="290"/>
      <c r="S254" s="290"/>
      <c r="T254" s="290"/>
      <c r="U254" s="290"/>
      <c r="V254" s="290"/>
      <c r="X254" s="293"/>
    </row>
    <row r="255" spans="1:24" s="292" customFormat="1" ht="28.5" customHeight="1">
      <c r="A255" s="315" t="str">
        <f>IF(N255="R","RECUPERAR",VLOOKUP(N255,'auxiliar memoria'!$F$40:$G$47,2,FALSE))</f>
        <v>CERÂMICA</v>
      </c>
      <c r="B255" s="295" t="str">
        <f>IF(N255="R",VLOOKUP(O255,'auxiliar memoria'!$F$41:$G$47,2,FALSE),VLOOKUP(O255,'auxiliar memoria'!$M$122:$N$128,2,FALSE))</f>
        <v>Piso em granilite, espessura mínima de 8mm,</v>
      </c>
      <c r="C255" s="284"/>
      <c r="D255" s="294" t="s">
        <v>362</v>
      </c>
      <c r="E255" s="296"/>
      <c r="F255" s="286"/>
      <c r="G255" s="287"/>
      <c r="H255" s="287"/>
      <c r="I255" s="287"/>
      <c r="J255" s="287">
        <v>7.93</v>
      </c>
      <c r="K255" s="288"/>
      <c r="L255" s="288"/>
      <c r="M255" s="289"/>
      <c r="N255" s="316">
        <v>2</v>
      </c>
      <c r="O255" s="290">
        <v>1</v>
      </c>
      <c r="P255" s="291"/>
      <c r="Q255" s="290"/>
      <c r="R255" s="290"/>
      <c r="S255" s="290"/>
      <c r="T255" s="290"/>
      <c r="U255" s="290"/>
      <c r="V255" s="290"/>
      <c r="X255" s="293"/>
    </row>
    <row r="256" spans="1:24" s="362" customFormat="1" ht="28.5" customHeight="1">
      <c r="A256" s="350" t="str">
        <f>IF(N256="R","RECUPERAR",VLOOKUP(N256,'auxiliar memoria'!$F$40:$G$47,2,FALSE))</f>
        <v>CERÂMICA</v>
      </c>
      <c r="B256" s="351" t="str">
        <f>IF(N256="R",VLOOKUP(O256,'auxiliar memoria'!$F$41:$G$47,2,FALSE),VLOOKUP(O256,'auxiliar memoria'!$M$122:$N$128,2,FALSE))</f>
        <v>Porcelanato branco, antiderrapante, dimensões 45x45cm</v>
      </c>
      <c r="C256" s="352"/>
      <c r="D256" s="353" t="s">
        <v>363</v>
      </c>
      <c r="E256" s="354"/>
      <c r="F256" s="355"/>
      <c r="G256" s="356"/>
      <c r="H256" s="356"/>
      <c r="I256" s="356"/>
      <c r="J256" s="356">
        <v>4.1100000000000003</v>
      </c>
      <c r="K256" s="357"/>
      <c r="L256" s="357"/>
      <c r="M256" s="358"/>
      <c r="N256" s="359">
        <v>2</v>
      </c>
      <c r="O256" s="360">
        <v>3</v>
      </c>
      <c r="P256" s="361"/>
      <c r="Q256" s="360"/>
      <c r="R256" s="360"/>
      <c r="S256" s="360"/>
      <c r="T256" s="360"/>
      <c r="U256" s="360"/>
      <c r="V256" s="360"/>
      <c r="X256" s="363"/>
    </row>
    <row r="257" spans="1:24" s="362" customFormat="1" ht="28.5" customHeight="1">
      <c r="A257" s="350" t="str">
        <f>IF(N257="R","RECUPERAR",VLOOKUP(N257,'auxiliar memoria'!$F$40:$G$47,2,FALSE))</f>
        <v>CERÂMICA</v>
      </c>
      <c r="B257" s="351" t="str">
        <f>IF(N257="R",VLOOKUP(O257,'auxiliar memoria'!$F$41:$G$47,2,FALSE),VLOOKUP(O257,'auxiliar memoria'!$M$122:$N$128,2,FALSE))</f>
        <v>Porcelanato branco, antiderrapante, dimensões 45x45cm</v>
      </c>
      <c r="C257" s="352"/>
      <c r="D257" s="353" t="s">
        <v>364</v>
      </c>
      <c r="E257" s="354"/>
      <c r="F257" s="355"/>
      <c r="G257" s="356"/>
      <c r="H257" s="356"/>
      <c r="I257" s="356"/>
      <c r="J257" s="356">
        <v>4.76</v>
      </c>
      <c r="K257" s="357"/>
      <c r="L257" s="357"/>
      <c r="M257" s="358"/>
      <c r="N257" s="359">
        <v>2</v>
      </c>
      <c r="O257" s="360">
        <v>3</v>
      </c>
      <c r="P257" s="361"/>
      <c r="Q257" s="360"/>
      <c r="R257" s="360"/>
      <c r="S257" s="360"/>
      <c r="T257" s="360"/>
      <c r="U257" s="360"/>
      <c r="V257" s="360"/>
      <c r="X257" s="363"/>
    </row>
    <row r="258" spans="1:24" s="292" customFormat="1" ht="28.5" customHeight="1">
      <c r="A258" s="315" t="str">
        <f>IF(N258="R","RECUPERAR",VLOOKUP(N258,'auxiliar memoria'!$F$40:$G$47,2,FALSE))</f>
        <v>CIMENTADO</v>
      </c>
      <c r="B258" s="295" t="str">
        <f>IF(N258="R",VLOOKUP(O258,'auxiliar memoria'!$F$41:$G$47,2,FALSE),VLOOKUP(O258,'auxiliar memoria'!$M$122:$N$128,2,FALSE))</f>
        <v>Piso em granilite, espessura mínima de 8mm,</v>
      </c>
      <c r="C258" s="284"/>
      <c r="D258" s="294" t="s">
        <v>366</v>
      </c>
      <c r="E258" s="287"/>
      <c r="F258" s="286"/>
      <c r="G258" s="287"/>
      <c r="H258" s="349"/>
      <c r="I258" s="287"/>
      <c r="J258" s="287">
        <v>98.28</v>
      </c>
      <c r="K258" s="288"/>
      <c r="L258" s="288"/>
      <c r="M258" s="289"/>
      <c r="N258" s="316">
        <v>3</v>
      </c>
      <c r="O258" s="290">
        <v>1</v>
      </c>
      <c r="P258" s="291"/>
      <c r="Q258" s="290"/>
      <c r="R258" s="290"/>
      <c r="S258" s="290"/>
      <c r="T258" s="290"/>
      <c r="U258" s="290"/>
      <c r="V258" s="290"/>
      <c r="X258" s="293"/>
    </row>
    <row r="259" spans="1:24" s="248" customFormat="1" ht="28.5" customHeight="1">
      <c r="A259" s="266" t="str">
        <f>IF(N259="R","RECUPERAR",VLOOKUP(N259,'auxiliar memoria'!$F$40:$G$47,2,FALSE))</f>
        <v>CIMENTADO</v>
      </c>
      <c r="B259" s="267" t="s">
        <v>46</v>
      </c>
      <c r="C259" s="256"/>
      <c r="D259" s="268" t="s">
        <v>367</v>
      </c>
      <c r="E259" s="259"/>
      <c r="F259" s="258"/>
      <c r="G259" s="259"/>
      <c r="H259" s="270"/>
      <c r="I259" s="259"/>
      <c r="J259" s="259">
        <v>172.17</v>
      </c>
      <c r="K259" s="260"/>
      <c r="L259" s="260"/>
      <c r="M259" s="261"/>
      <c r="N259" s="262">
        <v>3</v>
      </c>
      <c r="O259" s="263" t="s">
        <v>46</v>
      </c>
      <c r="P259" s="247"/>
      <c r="Q259" s="263"/>
      <c r="R259" s="263"/>
      <c r="S259" s="263"/>
      <c r="T259" s="263"/>
      <c r="U259" s="263"/>
      <c r="V259" s="263"/>
      <c r="X259" s="264"/>
    </row>
    <row r="263" spans="1:24" ht="23.25">
      <c r="D263" s="348" t="s">
        <v>417</v>
      </c>
    </row>
    <row r="264" spans="1:24" s="4" customFormat="1" ht="23.25">
      <c r="B264" s="230"/>
      <c r="D264" s="365" t="s">
        <v>421</v>
      </c>
      <c r="N264" s="230"/>
    </row>
    <row r="265" spans="1:24" s="292" customFormat="1" ht="28.5" customHeight="1">
      <c r="A265" s="315" t="s">
        <v>250</v>
      </c>
      <c r="B265" s="295" t="s">
        <v>345</v>
      </c>
      <c r="C265" s="284"/>
      <c r="D265" s="294" t="s">
        <v>109</v>
      </c>
      <c r="E265" s="285"/>
      <c r="F265" s="286"/>
      <c r="G265" s="287"/>
      <c r="H265" s="287"/>
      <c r="I265" s="287">
        <f>0.04+(8/1000)</f>
        <v>4.8000000000000001E-2</v>
      </c>
      <c r="J265" s="287">
        <v>56.35</v>
      </c>
      <c r="K265" s="288">
        <f>J265*I265</f>
        <v>2.7048000000000001</v>
      </c>
      <c r="L265" s="288"/>
      <c r="M265" s="289"/>
      <c r="N265" s="316">
        <v>2</v>
      </c>
      <c r="O265" s="290">
        <v>1</v>
      </c>
      <c r="P265" s="291" t="s">
        <v>92</v>
      </c>
      <c r="Q265" s="290"/>
      <c r="R265" s="290"/>
      <c r="S265" s="290"/>
      <c r="T265" s="290"/>
      <c r="U265" s="290"/>
      <c r="V265" s="290"/>
      <c r="X265" s="293" t="s">
        <v>92</v>
      </c>
    </row>
    <row r="266" spans="1:24" s="292" customFormat="1" ht="23.25">
      <c r="A266" s="315" t="s">
        <v>250</v>
      </c>
      <c r="B266" s="295" t="s">
        <v>345</v>
      </c>
      <c r="C266" s="284"/>
      <c r="D266" s="294" t="s">
        <v>110</v>
      </c>
      <c r="E266" s="285"/>
      <c r="F266" s="286"/>
      <c r="G266" s="287"/>
      <c r="H266" s="287"/>
      <c r="I266" s="287">
        <f t="shared" ref="I266:I284" si="23">0.04+(8/1000)</f>
        <v>4.8000000000000001E-2</v>
      </c>
      <c r="J266" s="287">
        <v>55.75</v>
      </c>
      <c r="K266" s="288">
        <f t="shared" ref="K266:K284" si="24">J266*I266</f>
        <v>2.6760000000000002</v>
      </c>
      <c r="L266" s="288"/>
      <c r="M266" s="289"/>
      <c r="N266" s="316">
        <v>2</v>
      </c>
      <c r="O266" s="290">
        <v>1</v>
      </c>
      <c r="P266" s="291" t="s">
        <v>92</v>
      </c>
      <c r="Q266" s="290"/>
      <c r="R266" s="290"/>
      <c r="S266" s="290"/>
      <c r="T266" s="290"/>
      <c r="U266" s="290"/>
      <c r="V266" s="290"/>
      <c r="X266" s="293" t="s">
        <v>92</v>
      </c>
    </row>
    <row r="267" spans="1:24" s="292" customFormat="1" ht="28.5" customHeight="1">
      <c r="A267" s="315" t="s">
        <v>250</v>
      </c>
      <c r="B267" s="295" t="s">
        <v>345</v>
      </c>
      <c r="C267" s="284"/>
      <c r="D267" s="294" t="s">
        <v>111</v>
      </c>
      <c r="E267" s="285"/>
      <c r="F267" s="286"/>
      <c r="G267" s="287"/>
      <c r="H267" s="287"/>
      <c r="I267" s="287">
        <f t="shared" si="23"/>
        <v>4.8000000000000001E-2</v>
      </c>
      <c r="J267" s="287">
        <v>56.53</v>
      </c>
      <c r="K267" s="288">
        <f t="shared" si="24"/>
        <v>2.7134400000000003</v>
      </c>
      <c r="L267" s="288"/>
      <c r="M267" s="289"/>
      <c r="N267" s="316">
        <v>2</v>
      </c>
      <c r="O267" s="290">
        <v>1</v>
      </c>
      <c r="P267" s="291" t="s">
        <v>92</v>
      </c>
      <c r="Q267" s="290"/>
      <c r="R267" s="290"/>
      <c r="S267" s="290"/>
      <c r="T267" s="290"/>
      <c r="U267" s="290"/>
      <c r="V267" s="290"/>
      <c r="X267" s="293" t="s">
        <v>92</v>
      </c>
    </row>
    <row r="268" spans="1:24" s="292" customFormat="1" ht="28.5" customHeight="1">
      <c r="A268" s="315" t="s">
        <v>250</v>
      </c>
      <c r="B268" s="295" t="s">
        <v>345</v>
      </c>
      <c r="C268" s="284"/>
      <c r="D268" s="294" t="s">
        <v>112</v>
      </c>
      <c r="E268" s="285"/>
      <c r="F268" s="286"/>
      <c r="G268" s="287"/>
      <c r="H268" s="287"/>
      <c r="I268" s="287">
        <f t="shared" si="23"/>
        <v>4.8000000000000001E-2</v>
      </c>
      <c r="J268" s="287">
        <v>56.14</v>
      </c>
      <c r="K268" s="288">
        <f t="shared" si="24"/>
        <v>2.6947200000000002</v>
      </c>
      <c r="L268" s="288"/>
      <c r="M268" s="289"/>
      <c r="N268" s="316">
        <v>2</v>
      </c>
      <c r="O268" s="290">
        <v>1</v>
      </c>
      <c r="P268" s="291" t="s">
        <v>92</v>
      </c>
      <c r="Q268" s="290"/>
      <c r="R268" s="290"/>
      <c r="S268" s="290"/>
      <c r="T268" s="290"/>
      <c r="U268" s="290"/>
      <c r="V268" s="290"/>
      <c r="X268" s="293" t="s">
        <v>92</v>
      </c>
    </row>
    <row r="269" spans="1:24" s="292" customFormat="1" ht="28.5" customHeight="1">
      <c r="A269" s="315" t="s">
        <v>250</v>
      </c>
      <c r="B269" s="295" t="s">
        <v>345</v>
      </c>
      <c r="C269" s="284"/>
      <c r="D269" s="294" t="s">
        <v>113</v>
      </c>
      <c r="E269" s="285"/>
      <c r="F269" s="286"/>
      <c r="G269" s="287"/>
      <c r="H269" s="287"/>
      <c r="I269" s="287">
        <f t="shared" si="23"/>
        <v>4.8000000000000001E-2</v>
      </c>
      <c r="J269" s="287">
        <v>53.34</v>
      </c>
      <c r="K269" s="288">
        <f t="shared" si="24"/>
        <v>2.5603200000000004</v>
      </c>
      <c r="L269" s="288"/>
      <c r="M269" s="289"/>
      <c r="N269" s="316">
        <v>2</v>
      </c>
      <c r="O269" s="290">
        <v>1</v>
      </c>
      <c r="P269" s="291" t="s">
        <v>92</v>
      </c>
      <c r="Q269" s="290"/>
      <c r="R269" s="290"/>
      <c r="S269" s="290"/>
      <c r="T269" s="290"/>
      <c r="U269" s="290"/>
      <c r="V269" s="290"/>
      <c r="X269" s="293" t="s">
        <v>92</v>
      </c>
    </row>
    <row r="270" spans="1:24" s="292" customFormat="1" ht="28.5" customHeight="1">
      <c r="A270" s="315" t="s">
        <v>250</v>
      </c>
      <c r="B270" s="295" t="s">
        <v>345</v>
      </c>
      <c r="C270" s="284"/>
      <c r="D270" s="294" t="s">
        <v>114</v>
      </c>
      <c r="E270" s="285"/>
      <c r="F270" s="286"/>
      <c r="G270" s="287"/>
      <c r="H270" s="287"/>
      <c r="I270" s="287">
        <f t="shared" si="23"/>
        <v>4.8000000000000001E-2</v>
      </c>
      <c r="J270" s="287">
        <v>56.04</v>
      </c>
      <c r="K270" s="288">
        <f t="shared" si="24"/>
        <v>2.6899199999999999</v>
      </c>
      <c r="L270" s="288"/>
      <c r="M270" s="289"/>
      <c r="N270" s="316">
        <v>2</v>
      </c>
      <c r="O270" s="290">
        <v>1</v>
      </c>
      <c r="P270" s="291" t="s">
        <v>92</v>
      </c>
      <c r="Q270" s="290"/>
      <c r="R270" s="290"/>
      <c r="S270" s="290"/>
      <c r="T270" s="290"/>
      <c r="U270" s="290"/>
      <c r="V270" s="290"/>
      <c r="X270" s="293" t="s">
        <v>92</v>
      </c>
    </row>
    <row r="271" spans="1:24" s="292" customFormat="1" ht="28.5" customHeight="1">
      <c r="A271" s="315" t="s">
        <v>250</v>
      </c>
      <c r="B271" s="295" t="s">
        <v>345</v>
      </c>
      <c r="C271" s="284"/>
      <c r="D271" s="294" t="s">
        <v>115</v>
      </c>
      <c r="E271" s="296"/>
      <c r="F271" s="286"/>
      <c r="G271" s="287"/>
      <c r="H271" s="287"/>
      <c r="I271" s="287">
        <f t="shared" si="23"/>
        <v>4.8000000000000001E-2</v>
      </c>
      <c r="J271" s="287">
        <v>56.31</v>
      </c>
      <c r="K271" s="288">
        <f t="shared" si="24"/>
        <v>2.7028799999999999</v>
      </c>
      <c r="L271" s="288"/>
      <c r="M271" s="289"/>
      <c r="N271" s="316">
        <v>2</v>
      </c>
      <c r="O271" s="290">
        <v>1</v>
      </c>
      <c r="P271" s="291" t="s">
        <v>92</v>
      </c>
      <c r="Q271" s="290"/>
      <c r="R271" s="290"/>
      <c r="S271" s="290"/>
      <c r="T271" s="290"/>
      <c r="U271" s="290"/>
      <c r="V271" s="290"/>
      <c r="X271" s="293" t="s">
        <v>92</v>
      </c>
    </row>
    <row r="272" spans="1:24" s="292" customFormat="1" ht="28.5" customHeight="1">
      <c r="A272" s="315" t="s">
        <v>250</v>
      </c>
      <c r="B272" s="295" t="s">
        <v>345</v>
      </c>
      <c r="C272" s="284"/>
      <c r="D272" s="294" t="s">
        <v>116</v>
      </c>
      <c r="E272" s="296"/>
      <c r="F272" s="286"/>
      <c r="G272" s="287"/>
      <c r="H272" s="287"/>
      <c r="I272" s="287">
        <f t="shared" si="23"/>
        <v>4.8000000000000001E-2</v>
      </c>
      <c r="J272" s="287">
        <v>56.49</v>
      </c>
      <c r="K272" s="288">
        <f t="shared" si="24"/>
        <v>2.7115200000000002</v>
      </c>
      <c r="L272" s="288"/>
      <c r="M272" s="289"/>
      <c r="N272" s="316">
        <v>2</v>
      </c>
      <c r="O272" s="290">
        <v>1</v>
      </c>
      <c r="P272" s="291" t="s">
        <v>92</v>
      </c>
      <c r="Q272" s="290"/>
      <c r="R272" s="290"/>
      <c r="S272" s="290"/>
      <c r="T272" s="290"/>
      <c r="U272" s="290"/>
      <c r="V272" s="290"/>
      <c r="X272" s="293" t="s">
        <v>92</v>
      </c>
    </row>
    <row r="273" spans="1:24" s="292" customFormat="1" ht="28.5" customHeight="1">
      <c r="A273" s="315" t="s">
        <v>250</v>
      </c>
      <c r="B273" s="295" t="s">
        <v>345</v>
      </c>
      <c r="C273" s="284"/>
      <c r="D273" s="294" t="s">
        <v>176</v>
      </c>
      <c r="E273" s="287"/>
      <c r="F273" s="286"/>
      <c r="G273" s="287"/>
      <c r="H273" s="349"/>
      <c r="I273" s="287">
        <f t="shared" si="23"/>
        <v>4.8000000000000001E-2</v>
      </c>
      <c r="J273" s="287">
        <v>57.03</v>
      </c>
      <c r="K273" s="288">
        <f t="shared" si="24"/>
        <v>2.7374400000000003</v>
      </c>
      <c r="L273" s="288"/>
      <c r="M273" s="289"/>
      <c r="N273" s="316">
        <v>2</v>
      </c>
      <c r="O273" s="290">
        <v>1</v>
      </c>
      <c r="P273" s="291" t="s">
        <v>92</v>
      </c>
      <c r="Q273" s="290"/>
      <c r="R273" s="290"/>
      <c r="S273" s="290"/>
      <c r="T273" s="290"/>
      <c r="U273" s="290"/>
      <c r="V273" s="290"/>
      <c r="X273" s="293" t="s">
        <v>92</v>
      </c>
    </row>
    <row r="274" spans="1:24" s="292" customFormat="1" ht="28.5" customHeight="1">
      <c r="A274" s="315" t="s">
        <v>250</v>
      </c>
      <c r="B274" s="295" t="s">
        <v>345</v>
      </c>
      <c r="C274" s="284"/>
      <c r="D274" s="294" t="s">
        <v>175</v>
      </c>
      <c r="E274" s="287"/>
      <c r="F274" s="286"/>
      <c r="G274" s="287"/>
      <c r="H274" s="349"/>
      <c r="I274" s="287">
        <f t="shared" si="23"/>
        <v>4.8000000000000001E-2</v>
      </c>
      <c r="J274" s="287">
        <v>56.4</v>
      </c>
      <c r="K274" s="288">
        <f t="shared" si="24"/>
        <v>2.7071999999999998</v>
      </c>
      <c r="L274" s="288"/>
      <c r="M274" s="289"/>
      <c r="N274" s="316">
        <v>2</v>
      </c>
      <c r="O274" s="290">
        <v>1</v>
      </c>
      <c r="P274" s="291" t="s">
        <v>92</v>
      </c>
      <c r="Q274" s="290"/>
      <c r="R274" s="290"/>
      <c r="S274" s="290"/>
      <c r="T274" s="290"/>
      <c r="U274" s="290"/>
      <c r="V274" s="290"/>
      <c r="X274" s="293" t="s">
        <v>92</v>
      </c>
    </row>
    <row r="275" spans="1:24" s="292" customFormat="1" ht="28.5" customHeight="1">
      <c r="A275" s="315" t="s">
        <v>250</v>
      </c>
      <c r="B275" s="295" t="s">
        <v>345</v>
      </c>
      <c r="C275" s="284"/>
      <c r="D275" s="294" t="s">
        <v>174</v>
      </c>
      <c r="E275" s="296"/>
      <c r="F275" s="286"/>
      <c r="G275" s="287"/>
      <c r="H275" s="287"/>
      <c r="I275" s="287">
        <f t="shared" si="23"/>
        <v>4.8000000000000001E-2</v>
      </c>
      <c r="J275" s="287">
        <v>56.4</v>
      </c>
      <c r="K275" s="288">
        <f t="shared" si="24"/>
        <v>2.7071999999999998</v>
      </c>
      <c r="L275" s="288"/>
      <c r="M275" s="289"/>
      <c r="N275" s="316">
        <v>2</v>
      </c>
      <c r="O275" s="290">
        <v>1</v>
      </c>
      <c r="P275" s="291" t="s">
        <v>92</v>
      </c>
      <c r="Q275" s="290"/>
      <c r="R275" s="290"/>
      <c r="S275" s="290"/>
      <c r="T275" s="290"/>
      <c r="U275" s="290"/>
      <c r="V275" s="290"/>
      <c r="X275" s="293" t="s">
        <v>92</v>
      </c>
    </row>
    <row r="276" spans="1:24" s="292" customFormat="1" ht="28.5" customHeight="1">
      <c r="A276" s="315" t="s">
        <v>250</v>
      </c>
      <c r="B276" s="295" t="s">
        <v>345</v>
      </c>
      <c r="C276" s="284"/>
      <c r="D276" s="294" t="s">
        <v>121</v>
      </c>
      <c r="E276" s="287"/>
      <c r="F276" s="286"/>
      <c r="G276" s="287"/>
      <c r="H276" s="287"/>
      <c r="I276" s="287">
        <f t="shared" si="23"/>
        <v>4.8000000000000001E-2</v>
      </c>
      <c r="J276" s="287">
        <v>55.61</v>
      </c>
      <c r="K276" s="288">
        <f t="shared" si="24"/>
        <v>2.6692800000000001</v>
      </c>
      <c r="L276" s="288"/>
      <c r="M276" s="289"/>
      <c r="N276" s="316">
        <v>2</v>
      </c>
      <c r="O276" s="290">
        <v>1</v>
      </c>
      <c r="P276" s="291" t="s">
        <v>92</v>
      </c>
      <c r="Q276" s="290"/>
      <c r="R276" s="290"/>
      <c r="S276" s="290"/>
      <c r="T276" s="290"/>
      <c r="U276" s="290"/>
      <c r="V276" s="290"/>
      <c r="X276" s="293" t="s">
        <v>92</v>
      </c>
    </row>
    <row r="277" spans="1:24" s="292" customFormat="1" ht="28.5" customHeight="1">
      <c r="A277" s="315" t="s">
        <v>250</v>
      </c>
      <c r="B277" s="295" t="s">
        <v>345</v>
      </c>
      <c r="C277" s="284"/>
      <c r="D277" s="294" t="s">
        <v>354</v>
      </c>
      <c r="E277" s="287"/>
      <c r="F277" s="286"/>
      <c r="G277" s="287"/>
      <c r="H277" s="287"/>
      <c r="I277" s="287">
        <f t="shared" si="23"/>
        <v>4.8000000000000001E-2</v>
      </c>
      <c r="J277" s="287">
        <v>20.66</v>
      </c>
      <c r="K277" s="288">
        <f t="shared" si="24"/>
        <v>0.99168000000000001</v>
      </c>
      <c r="L277" s="288"/>
      <c r="M277" s="289"/>
      <c r="N277" s="316">
        <v>2</v>
      </c>
      <c r="O277" s="290">
        <v>1</v>
      </c>
      <c r="P277" s="291" t="s">
        <v>92</v>
      </c>
      <c r="Q277" s="290"/>
      <c r="R277" s="290"/>
      <c r="S277" s="290"/>
      <c r="T277" s="290"/>
      <c r="U277" s="290"/>
      <c r="V277" s="290"/>
      <c r="X277" s="293" t="s">
        <v>92</v>
      </c>
    </row>
    <row r="278" spans="1:24" s="292" customFormat="1" ht="28.5" customHeight="1">
      <c r="A278" s="315" t="s">
        <v>250</v>
      </c>
      <c r="B278" s="295" t="s">
        <v>345</v>
      </c>
      <c r="C278" s="284"/>
      <c r="D278" s="294" t="s">
        <v>355</v>
      </c>
      <c r="E278" s="296"/>
      <c r="F278" s="286"/>
      <c r="G278" s="287"/>
      <c r="H278" s="287"/>
      <c r="I278" s="287">
        <f t="shared" si="23"/>
        <v>4.8000000000000001E-2</v>
      </c>
      <c r="J278" s="287">
        <v>23.67</v>
      </c>
      <c r="K278" s="288">
        <f t="shared" si="24"/>
        <v>1.1361600000000001</v>
      </c>
      <c r="L278" s="288"/>
      <c r="M278" s="289"/>
      <c r="N278" s="316">
        <v>2</v>
      </c>
      <c r="O278" s="290">
        <v>1</v>
      </c>
      <c r="P278" s="291" t="s">
        <v>92</v>
      </c>
      <c r="Q278" s="290"/>
      <c r="R278" s="290"/>
      <c r="S278" s="290"/>
      <c r="T278" s="290"/>
      <c r="U278" s="290"/>
      <c r="V278" s="290"/>
      <c r="X278" s="293" t="s">
        <v>92</v>
      </c>
    </row>
    <row r="279" spans="1:24" s="292" customFormat="1" ht="28.5" customHeight="1">
      <c r="A279" s="315" t="s">
        <v>250</v>
      </c>
      <c r="B279" s="295" t="s">
        <v>345</v>
      </c>
      <c r="C279" s="284"/>
      <c r="D279" s="294" t="s">
        <v>356</v>
      </c>
      <c r="E279" s="287"/>
      <c r="F279" s="286"/>
      <c r="G279" s="287"/>
      <c r="H279" s="349"/>
      <c r="I279" s="287">
        <f t="shared" si="23"/>
        <v>4.8000000000000001E-2</v>
      </c>
      <c r="J279" s="287">
        <v>19.21</v>
      </c>
      <c r="K279" s="288">
        <f t="shared" si="24"/>
        <v>0.92208000000000001</v>
      </c>
      <c r="L279" s="288"/>
      <c r="M279" s="289"/>
      <c r="N279" s="316">
        <v>2</v>
      </c>
      <c r="O279" s="290">
        <v>1</v>
      </c>
      <c r="P279" s="291" t="s">
        <v>92</v>
      </c>
      <c r="Q279" s="290"/>
      <c r="R279" s="290"/>
      <c r="S279" s="290"/>
      <c r="T279" s="290"/>
      <c r="U279" s="290"/>
      <c r="V279" s="290"/>
      <c r="X279" s="293" t="s">
        <v>92</v>
      </c>
    </row>
    <row r="280" spans="1:24" s="292" customFormat="1" ht="28.5" customHeight="1">
      <c r="A280" s="315" t="s">
        <v>250</v>
      </c>
      <c r="B280" s="295" t="s">
        <v>345</v>
      </c>
      <c r="C280" s="284"/>
      <c r="D280" s="294" t="s">
        <v>357</v>
      </c>
      <c r="E280" s="296"/>
      <c r="F280" s="286"/>
      <c r="G280" s="287"/>
      <c r="H280" s="287"/>
      <c r="I280" s="287">
        <f t="shared" si="23"/>
        <v>4.8000000000000001E-2</v>
      </c>
      <c r="J280" s="287">
        <v>23.62</v>
      </c>
      <c r="K280" s="288">
        <f t="shared" si="24"/>
        <v>1.1337600000000001</v>
      </c>
      <c r="L280" s="288"/>
      <c r="M280" s="289"/>
      <c r="N280" s="316">
        <v>2</v>
      </c>
      <c r="O280" s="290">
        <v>1</v>
      </c>
      <c r="P280" s="291" t="s">
        <v>92</v>
      </c>
      <c r="Q280" s="290"/>
      <c r="R280" s="290"/>
      <c r="S280" s="290"/>
      <c r="T280" s="290"/>
      <c r="U280" s="290"/>
      <c r="V280" s="290"/>
      <c r="X280" s="293" t="s">
        <v>92</v>
      </c>
    </row>
    <row r="281" spans="1:24" s="292" customFormat="1" ht="28.5" customHeight="1">
      <c r="A281" s="315" t="s">
        <v>250</v>
      </c>
      <c r="B281" s="295" t="s">
        <v>345</v>
      </c>
      <c r="C281" s="284"/>
      <c r="D281" s="294" t="s">
        <v>360</v>
      </c>
      <c r="E281" s="287"/>
      <c r="F281" s="286"/>
      <c r="G281" s="287"/>
      <c r="H281" s="349"/>
      <c r="I281" s="287">
        <f t="shared" si="23"/>
        <v>4.8000000000000001E-2</v>
      </c>
      <c r="J281" s="287">
        <v>19.05</v>
      </c>
      <c r="K281" s="288">
        <f t="shared" si="24"/>
        <v>0.9144000000000001</v>
      </c>
      <c r="L281" s="288"/>
      <c r="M281" s="289"/>
      <c r="N281" s="316">
        <v>2</v>
      </c>
      <c r="O281" s="290">
        <v>1</v>
      </c>
      <c r="P281" s="291" t="s">
        <v>92</v>
      </c>
      <c r="Q281" s="290"/>
      <c r="R281" s="290"/>
      <c r="S281" s="290"/>
      <c r="T281" s="290"/>
      <c r="U281" s="290"/>
      <c r="V281" s="290"/>
      <c r="X281" s="293" t="s">
        <v>92</v>
      </c>
    </row>
    <row r="282" spans="1:24" s="292" customFormat="1" ht="28.5" customHeight="1">
      <c r="A282" s="315" t="s">
        <v>250</v>
      </c>
      <c r="B282" s="295" t="s">
        <v>345</v>
      </c>
      <c r="C282" s="284"/>
      <c r="D282" s="294" t="s">
        <v>179</v>
      </c>
      <c r="E282" s="285"/>
      <c r="F282" s="286"/>
      <c r="G282" s="287"/>
      <c r="H282" s="287"/>
      <c r="I282" s="287">
        <f t="shared" si="23"/>
        <v>4.8000000000000001E-2</v>
      </c>
      <c r="J282" s="287">
        <v>19.25</v>
      </c>
      <c r="K282" s="288">
        <f t="shared" si="24"/>
        <v>0.92400000000000004</v>
      </c>
      <c r="L282" s="288"/>
      <c r="M282" s="289"/>
      <c r="N282" s="316">
        <v>2</v>
      </c>
      <c r="O282" s="290">
        <v>1</v>
      </c>
      <c r="P282" s="291"/>
      <c r="Q282" s="290"/>
      <c r="R282" s="290"/>
      <c r="S282" s="290"/>
      <c r="T282" s="290"/>
      <c r="U282" s="290"/>
      <c r="V282" s="290"/>
      <c r="X282" s="293"/>
    </row>
    <row r="283" spans="1:24" s="292" customFormat="1" ht="28.5" customHeight="1">
      <c r="A283" s="315" t="s">
        <v>250</v>
      </c>
      <c r="B283" s="295" t="s">
        <v>345</v>
      </c>
      <c r="C283" s="284"/>
      <c r="D283" s="294" t="s">
        <v>362</v>
      </c>
      <c r="E283" s="296"/>
      <c r="F283" s="286"/>
      <c r="G283" s="287"/>
      <c r="H283" s="287"/>
      <c r="I283" s="287">
        <f t="shared" si="23"/>
        <v>4.8000000000000001E-2</v>
      </c>
      <c r="J283" s="287">
        <v>7.93</v>
      </c>
      <c r="K283" s="288">
        <f t="shared" si="24"/>
        <v>0.38063999999999998</v>
      </c>
      <c r="L283" s="288"/>
      <c r="M283" s="289"/>
      <c r="N283" s="316">
        <v>2</v>
      </c>
      <c r="O283" s="290">
        <v>1</v>
      </c>
      <c r="P283" s="291"/>
      <c r="Q283" s="290"/>
      <c r="R283" s="290"/>
      <c r="S283" s="290"/>
      <c r="T283" s="290"/>
      <c r="U283" s="290"/>
      <c r="V283" s="290"/>
      <c r="X283" s="293"/>
    </row>
    <row r="284" spans="1:24" s="292" customFormat="1" ht="28.5" customHeight="1">
      <c r="A284" s="315" t="s">
        <v>251</v>
      </c>
      <c r="B284" s="295" t="s">
        <v>345</v>
      </c>
      <c r="C284" s="284"/>
      <c r="D284" s="294" t="s">
        <v>366</v>
      </c>
      <c r="E284" s="287"/>
      <c r="F284" s="286"/>
      <c r="G284" s="287"/>
      <c r="H284" s="349"/>
      <c r="I284" s="287">
        <f t="shared" si="23"/>
        <v>4.8000000000000001E-2</v>
      </c>
      <c r="J284" s="287">
        <v>98.28</v>
      </c>
      <c r="K284" s="288">
        <f t="shared" si="24"/>
        <v>4.7174399999999999</v>
      </c>
      <c r="L284" s="288"/>
      <c r="M284" s="289"/>
      <c r="N284" s="316">
        <v>3</v>
      </c>
      <c r="O284" s="290">
        <v>1</v>
      </c>
      <c r="P284" s="291"/>
      <c r="Q284" s="290"/>
      <c r="R284" s="290"/>
      <c r="S284" s="290"/>
      <c r="T284" s="290"/>
      <c r="U284" s="290"/>
      <c r="V284" s="290"/>
      <c r="X284" s="293"/>
    </row>
    <row r="287" spans="1:24" ht="23.25">
      <c r="D287" s="348" t="s">
        <v>418</v>
      </c>
    </row>
    <row r="288" spans="1:24" s="362" customFormat="1" ht="28.5" customHeight="1">
      <c r="A288" s="350" t="s">
        <v>250</v>
      </c>
      <c r="B288" s="351" t="s">
        <v>250</v>
      </c>
      <c r="C288" s="352"/>
      <c r="D288" s="353" t="s">
        <v>358</v>
      </c>
      <c r="E288" s="354"/>
      <c r="F288" s="355"/>
      <c r="G288" s="356"/>
      <c r="H288" s="356"/>
      <c r="I288" s="356"/>
      <c r="J288" s="356">
        <f>2.71</f>
        <v>2.71</v>
      </c>
      <c r="K288" s="357"/>
      <c r="L288" s="357"/>
      <c r="M288" s="358"/>
      <c r="N288" s="359" t="s">
        <v>48</v>
      </c>
      <c r="O288" s="360">
        <v>2</v>
      </c>
      <c r="P288" s="361" t="s">
        <v>92</v>
      </c>
      <c r="Q288" s="360"/>
      <c r="R288" s="360"/>
      <c r="S288" s="360"/>
      <c r="T288" s="360"/>
      <c r="U288" s="360"/>
      <c r="V288" s="360"/>
      <c r="X288" s="363" t="s">
        <v>92</v>
      </c>
    </row>
    <row r="289" spans="1:24" s="362" customFormat="1" ht="28.5" customHeight="1">
      <c r="A289" s="350" t="s">
        <v>250</v>
      </c>
      <c r="B289" s="351" t="s">
        <v>250</v>
      </c>
      <c r="C289" s="352"/>
      <c r="D289" s="353" t="s">
        <v>359</v>
      </c>
      <c r="E289" s="354"/>
      <c r="F289" s="355"/>
      <c r="G289" s="356"/>
      <c r="H289" s="356"/>
      <c r="I289" s="356"/>
      <c r="J289" s="356">
        <f>2.81</f>
        <v>2.81</v>
      </c>
      <c r="K289" s="357"/>
      <c r="L289" s="357"/>
      <c r="M289" s="358"/>
      <c r="N289" s="359" t="s">
        <v>48</v>
      </c>
      <c r="O289" s="360">
        <v>2</v>
      </c>
      <c r="P289" s="361" t="s">
        <v>92</v>
      </c>
      <c r="Q289" s="360"/>
      <c r="R289" s="360"/>
      <c r="S289" s="360"/>
      <c r="T289" s="360"/>
      <c r="U289" s="360"/>
      <c r="V289" s="360"/>
      <c r="X289" s="363" t="s">
        <v>92</v>
      </c>
    </row>
    <row r="290" spans="1:24" s="362" customFormat="1" ht="28.5" customHeight="1">
      <c r="A290" s="350" t="s">
        <v>250</v>
      </c>
      <c r="B290" s="351" t="s">
        <v>347</v>
      </c>
      <c r="C290" s="352"/>
      <c r="D290" s="353" t="s">
        <v>361</v>
      </c>
      <c r="E290" s="364"/>
      <c r="F290" s="355"/>
      <c r="G290" s="356"/>
      <c r="H290" s="356"/>
      <c r="I290" s="356"/>
      <c r="J290" s="356">
        <v>38.479999999999997</v>
      </c>
      <c r="K290" s="357"/>
      <c r="L290" s="357"/>
      <c r="M290" s="358"/>
      <c r="N290" s="359">
        <v>2</v>
      </c>
      <c r="O290" s="360">
        <v>3</v>
      </c>
      <c r="P290" s="361"/>
      <c r="Q290" s="360"/>
      <c r="R290" s="360"/>
      <c r="S290" s="360"/>
      <c r="T290" s="360"/>
      <c r="U290" s="360"/>
      <c r="V290" s="360"/>
      <c r="X290" s="363"/>
    </row>
    <row r="291" spans="1:24" s="362" customFormat="1" ht="28.5" customHeight="1">
      <c r="A291" s="350" t="s">
        <v>250</v>
      </c>
      <c r="B291" s="351" t="s">
        <v>347</v>
      </c>
      <c r="C291" s="352"/>
      <c r="D291" s="353" t="s">
        <v>353</v>
      </c>
      <c r="E291" s="364"/>
      <c r="F291" s="355"/>
      <c r="G291" s="356"/>
      <c r="H291" s="356"/>
      <c r="I291" s="356"/>
      <c r="J291" s="356">
        <v>37.01</v>
      </c>
      <c r="K291" s="357"/>
      <c r="L291" s="357"/>
      <c r="M291" s="358"/>
      <c r="N291" s="359">
        <v>2</v>
      </c>
      <c r="O291" s="360">
        <v>3</v>
      </c>
      <c r="P291" s="361"/>
      <c r="Q291" s="360"/>
      <c r="R291" s="360"/>
      <c r="S291" s="360"/>
      <c r="T291" s="360"/>
      <c r="U291" s="360"/>
      <c r="V291" s="360"/>
      <c r="X291" s="363"/>
    </row>
    <row r="292" spans="1:24" s="362" customFormat="1" ht="28.5" customHeight="1">
      <c r="A292" s="350" t="s">
        <v>250</v>
      </c>
      <c r="B292" s="351" t="s">
        <v>347</v>
      </c>
      <c r="C292" s="352"/>
      <c r="D292" s="353" t="s">
        <v>363</v>
      </c>
      <c r="E292" s="354"/>
      <c r="F292" s="355"/>
      <c r="G292" s="356"/>
      <c r="H292" s="356"/>
      <c r="I292" s="356"/>
      <c r="J292" s="356">
        <v>4.1100000000000003</v>
      </c>
      <c r="K292" s="357"/>
      <c r="L292" s="357"/>
      <c r="M292" s="358"/>
      <c r="N292" s="359">
        <v>2</v>
      </c>
      <c r="O292" s="360">
        <v>3</v>
      </c>
      <c r="P292" s="361"/>
      <c r="Q292" s="360"/>
      <c r="R292" s="360"/>
      <c r="S292" s="360"/>
      <c r="T292" s="360"/>
      <c r="U292" s="360"/>
      <c r="V292" s="360"/>
      <c r="X292" s="363"/>
    </row>
    <row r="293" spans="1:24" s="362" customFormat="1" ht="28.5" customHeight="1">
      <c r="A293" s="350" t="s">
        <v>250</v>
      </c>
      <c r="B293" s="351" t="s">
        <v>347</v>
      </c>
      <c r="C293" s="352"/>
      <c r="D293" s="353" t="s">
        <v>364</v>
      </c>
      <c r="E293" s="354"/>
      <c r="F293" s="355"/>
      <c r="G293" s="356"/>
      <c r="H293" s="356"/>
      <c r="I293" s="356"/>
      <c r="J293" s="356">
        <v>4.76</v>
      </c>
      <c r="K293" s="357"/>
      <c r="L293" s="357"/>
      <c r="M293" s="358"/>
      <c r="N293" s="359">
        <v>2</v>
      </c>
      <c r="O293" s="360">
        <v>3</v>
      </c>
      <c r="P293" s="361"/>
      <c r="Q293" s="360"/>
      <c r="R293" s="360"/>
      <c r="S293" s="360"/>
      <c r="T293" s="360"/>
      <c r="U293" s="360"/>
      <c r="V293" s="360"/>
      <c r="X293" s="363"/>
    </row>
    <row r="296" spans="1:24" s="4" customFormat="1" ht="23.25">
      <c r="B296" s="230"/>
      <c r="D296" s="348" t="s">
        <v>419</v>
      </c>
      <c r="N296" s="230"/>
    </row>
    <row r="297" spans="1:24" s="248" customFormat="1" ht="28.5" customHeight="1">
      <c r="A297" s="266" t="str">
        <f>IF(N297="R","RECUPERAR",VLOOKUP(N297,'auxiliar memoria'!$F$40:$G$47,2,FALSE))</f>
        <v>GRANILITE</v>
      </c>
      <c r="B297" s="267" t="str">
        <f>IF(N297="R",VLOOKUP(O297,'auxiliar memoria'!$F$41:$G$47,2,FALSE),VLOOKUP(O297,'auxiliar memoria'!$M$122:$N$128,2,FALSE))</f>
        <v>Piso em granilite, espessura mínima de 8mm,</v>
      </c>
      <c r="C297" s="256"/>
      <c r="D297" s="268" t="s">
        <v>365</v>
      </c>
      <c r="E297" s="259"/>
      <c r="F297" s="258"/>
      <c r="G297" s="259"/>
      <c r="H297" s="271"/>
      <c r="I297" s="259"/>
      <c r="J297" s="259">
        <v>243.65</v>
      </c>
      <c r="K297" s="260"/>
      <c r="L297" s="260"/>
      <c r="M297" s="261"/>
      <c r="N297" s="262">
        <v>1</v>
      </c>
      <c r="O297" s="263">
        <v>1</v>
      </c>
      <c r="P297" s="247" t="s">
        <v>92</v>
      </c>
      <c r="Q297" s="263"/>
      <c r="R297" s="263"/>
      <c r="S297" s="263"/>
      <c r="T297" s="263"/>
      <c r="U297" s="263"/>
      <c r="V297" s="263"/>
      <c r="X297" s="264" t="str">
        <f>IF(C297="sinapi","ok",IF(C297="orse","ok",IF(P297="título","título",IF(P297="intertítulo","intertítulo",""))))</f>
        <v/>
      </c>
    </row>
    <row r="300" spans="1:24" s="4" customFormat="1" ht="23.25">
      <c r="B300" s="230"/>
      <c r="D300" s="348" t="s">
        <v>420</v>
      </c>
      <c r="N300" s="230"/>
    </row>
    <row r="301" spans="1:24" s="292" customFormat="1" ht="28.5" customHeight="1">
      <c r="A301" s="315" t="s">
        <v>250</v>
      </c>
      <c r="B301" s="295" t="s">
        <v>345</v>
      </c>
      <c r="C301" s="284"/>
      <c r="D301" s="294" t="s">
        <v>109</v>
      </c>
      <c r="E301" s="285"/>
      <c r="F301" s="286"/>
      <c r="G301" s="287"/>
      <c r="H301" s="287"/>
      <c r="I301" s="287"/>
      <c r="J301" s="287">
        <v>56.35</v>
      </c>
      <c r="K301" s="288"/>
      <c r="L301" s="288"/>
      <c r="M301" s="289"/>
      <c r="N301" s="316">
        <v>2</v>
      </c>
      <c r="O301" s="290">
        <v>1</v>
      </c>
      <c r="P301" s="291" t="s">
        <v>92</v>
      </c>
      <c r="Q301" s="290"/>
      <c r="R301" s="290"/>
      <c r="S301" s="290"/>
      <c r="T301" s="290"/>
      <c r="U301" s="290"/>
      <c r="V301" s="290"/>
      <c r="X301" s="293" t="s">
        <v>92</v>
      </c>
    </row>
    <row r="302" spans="1:24" s="292" customFormat="1" ht="23.25">
      <c r="A302" s="315" t="s">
        <v>250</v>
      </c>
      <c r="B302" s="295" t="s">
        <v>345</v>
      </c>
      <c r="C302" s="284"/>
      <c r="D302" s="294" t="s">
        <v>110</v>
      </c>
      <c r="E302" s="285"/>
      <c r="F302" s="286"/>
      <c r="G302" s="287"/>
      <c r="H302" s="287"/>
      <c r="I302" s="287"/>
      <c r="J302" s="287">
        <v>55.75</v>
      </c>
      <c r="K302" s="288"/>
      <c r="L302" s="288"/>
      <c r="M302" s="289"/>
      <c r="N302" s="316">
        <v>2</v>
      </c>
      <c r="O302" s="290">
        <v>1</v>
      </c>
      <c r="P302" s="291" t="s">
        <v>92</v>
      </c>
      <c r="Q302" s="290"/>
      <c r="R302" s="290"/>
      <c r="S302" s="290"/>
      <c r="T302" s="290"/>
      <c r="U302" s="290"/>
      <c r="V302" s="290"/>
      <c r="X302" s="293" t="s">
        <v>92</v>
      </c>
    </row>
    <row r="303" spans="1:24" s="292" customFormat="1" ht="28.5" customHeight="1">
      <c r="A303" s="315" t="s">
        <v>250</v>
      </c>
      <c r="B303" s="295" t="s">
        <v>345</v>
      </c>
      <c r="C303" s="284"/>
      <c r="D303" s="294" t="s">
        <v>111</v>
      </c>
      <c r="E303" s="285"/>
      <c r="F303" s="286"/>
      <c r="G303" s="287"/>
      <c r="H303" s="287"/>
      <c r="I303" s="287"/>
      <c r="J303" s="287">
        <v>56.53</v>
      </c>
      <c r="K303" s="288"/>
      <c r="L303" s="288"/>
      <c r="M303" s="289"/>
      <c r="N303" s="316">
        <v>2</v>
      </c>
      <c r="O303" s="290">
        <v>1</v>
      </c>
      <c r="P303" s="291" t="s">
        <v>92</v>
      </c>
      <c r="Q303" s="290"/>
      <c r="R303" s="290"/>
      <c r="S303" s="290"/>
      <c r="T303" s="290"/>
      <c r="U303" s="290"/>
      <c r="V303" s="290"/>
      <c r="X303" s="293" t="s">
        <v>92</v>
      </c>
    </row>
    <row r="304" spans="1:24" s="292" customFormat="1" ht="28.5" customHeight="1">
      <c r="A304" s="315" t="s">
        <v>250</v>
      </c>
      <c r="B304" s="295" t="s">
        <v>345</v>
      </c>
      <c r="C304" s="284"/>
      <c r="D304" s="294" t="s">
        <v>112</v>
      </c>
      <c r="E304" s="285"/>
      <c r="F304" s="286"/>
      <c r="G304" s="287"/>
      <c r="H304" s="287"/>
      <c r="I304" s="287"/>
      <c r="J304" s="287">
        <v>56.14</v>
      </c>
      <c r="K304" s="288"/>
      <c r="L304" s="288"/>
      <c r="M304" s="289"/>
      <c r="N304" s="316">
        <v>2</v>
      </c>
      <c r="O304" s="290">
        <v>1</v>
      </c>
      <c r="P304" s="291" t="s">
        <v>92</v>
      </c>
      <c r="Q304" s="290"/>
      <c r="R304" s="290"/>
      <c r="S304" s="290"/>
      <c r="T304" s="290"/>
      <c r="U304" s="290"/>
      <c r="V304" s="290"/>
      <c r="X304" s="293" t="s">
        <v>92</v>
      </c>
    </row>
    <row r="305" spans="1:24" s="292" customFormat="1" ht="28.5" customHeight="1">
      <c r="A305" s="315" t="s">
        <v>250</v>
      </c>
      <c r="B305" s="295" t="s">
        <v>345</v>
      </c>
      <c r="C305" s="284"/>
      <c r="D305" s="294" t="s">
        <v>113</v>
      </c>
      <c r="E305" s="285"/>
      <c r="F305" s="286"/>
      <c r="G305" s="287"/>
      <c r="H305" s="287"/>
      <c r="I305" s="287"/>
      <c r="J305" s="287">
        <v>53.34</v>
      </c>
      <c r="K305" s="288"/>
      <c r="L305" s="288"/>
      <c r="M305" s="289"/>
      <c r="N305" s="316">
        <v>2</v>
      </c>
      <c r="O305" s="290">
        <v>1</v>
      </c>
      <c r="P305" s="291" t="s">
        <v>92</v>
      </c>
      <c r="Q305" s="290"/>
      <c r="R305" s="290"/>
      <c r="S305" s="290"/>
      <c r="T305" s="290"/>
      <c r="U305" s="290"/>
      <c r="V305" s="290"/>
      <c r="X305" s="293" t="s">
        <v>92</v>
      </c>
    </row>
    <row r="306" spans="1:24" s="292" customFormat="1" ht="28.5" customHeight="1">
      <c r="A306" s="315" t="s">
        <v>250</v>
      </c>
      <c r="B306" s="295" t="s">
        <v>345</v>
      </c>
      <c r="C306" s="284"/>
      <c r="D306" s="294" t="s">
        <v>114</v>
      </c>
      <c r="E306" s="285"/>
      <c r="F306" s="286"/>
      <c r="G306" s="287"/>
      <c r="H306" s="287"/>
      <c r="I306" s="287"/>
      <c r="J306" s="287">
        <v>56.04</v>
      </c>
      <c r="K306" s="288"/>
      <c r="L306" s="288"/>
      <c r="M306" s="289"/>
      <c r="N306" s="316">
        <v>2</v>
      </c>
      <c r="O306" s="290">
        <v>1</v>
      </c>
      <c r="P306" s="291" t="s">
        <v>92</v>
      </c>
      <c r="Q306" s="290"/>
      <c r="R306" s="290"/>
      <c r="S306" s="290"/>
      <c r="T306" s="290"/>
      <c r="U306" s="290"/>
      <c r="V306" s="290"/>
      <c r="X306" s="293" t="s">
        <v>92</v>
      </c>
    </row>
    <row r="307" spans="1:24" s="292" customFormat="1" ht="28.5" customHeight="1">
      <c r="A307" s="315" t="s">
        <v>250</v>
      </c>
      <c r="B307" s="295" t="s">
        <v>345</v>
      </c>
      <c r="C307" s="284"/>
      <c r="D307" s="294" t="s">
        <v>115</v>
      </c>
      <c r="E307" s="296"/>
      <c r="F307" s="286"/>
      <c r="G307" s="287"/>
      <c r="H307" s="287"/>
      <c r="I307" s="287"/>
      <c r="J307" s="287">
        <v>56.31</v>
      </c>
      <c r="K307" s="288"/>
      <c r="L307" s="288"/>
      <c r="M307" s="289"/>
      <c r="N307" s="316">
        <v>2</v>
      </c>
      <c r="O307" s="290">
        <v>1</v>
      </c>
      <c r="P307" s="291" t="s">
        <v>92</v>
      </c>
      <c r="Q307" s="290"/>
      <c r="R307" s="290"/>
      <c r="S307" s="290"/>
      <c r="T307" s="290"/>
      <c r="U307" s="290"/>
      <c r="V307" s="290"/>
      <c r="X307" s="293" t="s">
        <v>92</v>
      </c>
    </row>
    <row r="308" spans="1:24" s="292" customFormat="1" ht="28.5" customHeight="1">
      <c r="A308" s="315" t="s">
        <v>250</v>
      </c>
      <c r="B308" s="295" t="s">
        <v>345</v>
      </c>
      <c r="C308" s="284"/>
      <c r="D308" s="294" t="s">
        <v>116</v>
      </c>
      <c r="E308" s="296"/>
      <c r="F308" s="286"/>
      <c r="G308" s="287"/>
      <c r="H308" s="287"/>
      <c r="I308" s="287"/>
      <c r="J308" s="287">
        <v>56.49</v>
      </c>
      <c r="K308" s="288"/>
      <c r="L308" s="288"/>
      <c r="M308" s="289"/>
      <c r="N308" s="316">
        <v>2</v>
      </c>
      <c r="O308" s="290">
        <v>1</v>
      </c>
      <c r="P308" s="291" t="s">
        <v>92</v>
      </c>
      <c r="Q308" s="290"/>
      <c r="R308" s="290"/>
      <c r="S308" s="290"/>
      <c r="T308" s="290"/>
      <c r="U308" s="290"/>
      <c r="V308" s="290"/>
      <c r="X308" s="293" t="s">
        <v>92</v>
      </c>
    </row>
    <row r="309" spans="1:24" s="292" customFormat="1" ht="28.5" customHeight="1">
      <c r="A309" s="315" t="s">
        <v>250</v>
      </c>
      <c r="B309" s="295" t="s">
        <v>345</v>
      </c>
      <c r="C309" s="284"/>
      <c r="D309" s="294" t="s">
        <v>176</v>
      </c>
      <c r="E309" s="287"/>
      <c r="F309" s="286"/>
      <c r="G309" s="287"/>
      <c r="H309" s="349"/>
      <c r="I309" s="287"/>
      <c r="J309" s="287">
        <v>57.03</v>
      </c>
      <c r="K309" s="288"/>
      <c r="L309" s="288"/>
      <c r="M309" s="289"/>
      <c r="N309" s="316">
        <v>2</v>
      </c>
      <c r="O309" s="290">
        <v>1</v>
      </c>
      <c r="P309" s="291" t="s">
        <v>92</v>
      </c>
      <c r="Q309" s="290"/>
      <c r="R309" s="290"/>
      <c r="S309" s="290"/>
      <c r="T309" s="290"/>
      <c r="U309" s="290"/>
      <c r="V309" s="290"/>
      <c r="X309" s="293" t="s">
        <v>92</v>
      </c>
    </row>
    <row r="310" spans="1:24" s="292" customFormat="1" ht="28.5" customHeight="1">
      <c r="A310" s="315" t="s">
        <v>250</v>
      </c>
      <c r="B310" s="295" t="s">
        <v>345</v>
      </c>
      <c r="C310" s="284"/>
      <c r="D310" s="294" t="s">
        <v>175</v>
      </c>
      <c r="E310" s="287"/>
      <c r="F310" s="286"/>
      <c r="G310" s="287"/>
      <c r="H310" s="349"/>
      <c r="I310" s="287"/>
      <c r="J310" s="287">
        <v>56.4</v>
      </c>
      <c r="K310" s="288"/>
      <c r="L310" s="288"/>
      <c r="M310" s="289"/>
      <c r="N310" s="316">
        <v>2</v>
      </c>
      <c r="O310" s="290">
        <v>1</v>
      </c>
      <c r="P310" s="291" t="s">
        <v>92</v>
      </c>
      <c r="Q310" s="290"/>
      <c r="R310" s="290"/>
      <c r="S310" s="290"/>
      <c r="T310" s="290"/>
      <c r="U310" s="290"/>
      <c r="V310" s="290"/>
      <c r="X310" s="293" t="s">
        <v>92</v>
      </c>
    </row>
    <row r="311" spans="1:24" s="292" customFormat="1" ht="28.5" customHeight="1">
      <c r="A311" s="315" t="s">
        <v>250</v>
      </c>
      <c r="B311" s="295" t="s">
        <v>345</v>
      </c>
      <c r="C311" s="284"/>
      <c r="D311" s="294" t="s">
        <v>174</v>
      </c>
      <c r="E311" s="296"/>
      <c r="F311" s="286"/>
      <c r="G311" s="287"/>
      <c r="H311" s="287"/>
      <c r="I311" s="287"/>
      <c r="J311" s="287">
        <v>56.4</v>
      </c>
      <c r="K311" s="288"/>
      <c r="L311" s="288"/>
      <c r="M311" s="289"/>
      <c r="N311" s="316">
        <v>2</v>
      </c>
      <c r="O311" s="290">
        <v>1</v>
      </c>
      <c r="P311" s="291" t="s">
        <v>92</v>
      </c>
      <c r="Q311" s="290"/>
      <c r="R311" s="290"/>
      <c r="S311" s="290"/>
      <c r="T311" s="290"/>
      <c r="U311" s="290"/>
      <c r="V311" s="290"/>
      <c r="X311" s="293" t="s">
        <v>92</v>
      </c>
    </row>
    <row r="312" spans="1:24" s="292" customFormat="1" ht="28.5" customHeight="1">
      <c r="A312" s="315" t="s">
        <v>250</v>
      </c>
      <c r="B312" s="295" t="s">
        <v>345</v>
      </c>
      <c r="C312" s="284"/>
      <c r="D312" s="294" t="s">
        <v>121</v>
      </c>
      <c r="E312" s="287"/>
      <c r="F312" s="286"/>
      <c r="G312" s="287"/>
      <c r="H312" s="287"/>
      <c r="I312" s="287"/>
      <c r="J312" s="287">
        <v>55.61</v>
      </c>
      <c r="K312" s="288"/>
      <c r="L312" s="288"/>
      <c r="M312" s="289"/>
      <c r="N312" s="316">
        <v>2</v>
      </c>
      <c r="O312" s="290">
        <v>1</v>
      </c>
      <c r="P312" s="291" t="s">
        <v>92</v>
      </c>
      <c r="Q312" s="290"/>
      <c r="R312" s="290"/>
      <c r="S312" s="290"/>
      <c r="T312" s="290"/>
      <c r="U312" s="290"/>
      <c r="V312" s="290"/>
      <c r="X312" s="293" t="s">
        <v>92</v>
      </c>
    </row>
    <row r="313" spans="1:24" s="292" customFormat="1" ht="28.5" customHeight="1">
      <c r="A313" s="315" t="s">
        <v>250</v>
      </c>
      <c r="B313" s="295" t="s">
        <v>345</v>
      </c>
      <c r="C313" s="284"/>
      <c r="D313" s="294" t="s">
        <v>354</v>
      </c>
      <c r="E313" s="287"/>
      <c r="F313" s="286"/>
      <c r="G313" s="287"/>
      <c r="H313" s="287"/>
      <c r="I313" s="287"/>
      <c r="J313" s="287">
        <v>20.66</v>
      </c>
      <c r="K313" s="288"/>
      <c r="L313" s="288"/>
      <c r="M313" s="289"/>
      <c r="N313" s="316">
        <v>2</v>
      </c>
      <c r="O313" s="290">
        <v>1</v>
      </c>
      <c r="P313" s="291" t="s">
        <v>92</v>
      </c>
      <c r="Q313" s="290"/>
      <c r="R313" s="290"/>
      <c r="S313" s="290"/>
      <c r="T313" s="290"/>
      <c r="U313" s="290"/>
      <c r="V313" s="290"/>
      <c r="X313" s="293" t="s">
        <v>92</v>
      </c>
    </row>
    <row r="314" spans="1:24" s="292" customFormat="1" ht="28.5" customHeight="1">
      <c r="A314" s="315" t="s">
        <v>250</v>
      </c>
      <c r="B314" s="295" t="s">
        <v>345</v>
      </c>
      <c r="C314" s="284"/>
      <c r="D314" s="294" t="s">
        <v>355</v>
      </c>
      <c r="E314" s="296"/>
      <c r="F314" s="286"/>
      <c r="G314" s="287"/>
      <c r="H314" s="287"/>
      <c r="I314" s="287"/>
      <c r="J314" s="287">
        <v>23.67</v>
      </c>
      <c r="K314" s="288"/>
      <c r="L314" s="288"/>
      <c r="M314" s="289"/>
      <c r="N314" s="316">
        <v>2</v>
      </c>
      <c r="O314" s="290">
        <v>1</v>
      </c>
      <c r="P314" s="291" t="s">
        <v>92</v>
      </c>
      <c r="Q314" s="290"/>
      <c r="R314" s="290"/>
      <c r="S314" s="290"/>
      <c r="T314" s="290"/>
      <c r="U314" s="290"/>
      <c r="V314" s="290"/>
      <c r="X314" s="293" t="s">
        <v>92</v>
      </c>
    </row>
    <row r="315" spans="1:24" s="292" customFormat="1" ht="28.5" customHeight="1">
      <c r="A315" s="315" t="s">
        <v>250</v>
      </c>
      <c r="B315" s="295" t="s">
        <v>345</v>
      </c>
      <c r="C315" s="284"/>
      <c r="D315" s="294" t="s">
        <v>356</v>
      </c>
      <c r="E315" s="287"/>
      <c r="F315" s="286"/>
      <c r="G315" s="287"/>
      <c r="H315" s="349"/>
      <c r="I315" s="287"/>
      <c r="J315" s="287">
        <v>19.21</v>
      </c>
      <c r="K315" s="288"/>
      <c r="L315" s="288"/>
      <c r="M315" s="289"/>
      <c r="N315" s="316">
        <v>2</v>
      </c>
      <c r="O315" s="290">
        <v>1</v>
      </c>
      <c r="P315" s="291" t="s">
        <v>92</v>
      </c>
      <c r="Q315" s="290"/>
      <c r="R315" s="290"/>
      <c r="S315" s="290"/>
      <c r="T315" s="290"/>
      <c r="U315" s="290"/>
      <c r="V315" s="290"/>
      <c r="X315" s="293" t="s">
        <v>92</v>
      </c>
    </row>
    <row r="316" spans="1:24" s="292" customFormat="1" ht="28.5" customHeight="1">
      <c r="A316" s="315" t="s">
        <v>250</v>
      </c>
      <c r="B316" s="295" t="s">
        <v>345</v>
      </c>
      <c r="C316" s="284"/>
      <c r="D316" s="294" t="s">
        <v>357</v>
      </c>
      <c r="E316" s="296"/>
      <c r="F316" s="286"/>
      <c r="G316" s="287"/>
      <c r="H316" s="287"/>
      <c r="I316" s="287"/>
      <c r="J316" s="287">
        <v>23.62</v>
      </c>
      <c r="K316" s="288"/>
      <c r="L316" s="288"/>
      <c r="M316" s="289"/>
      <c r="N316" s="316">
        <v>2</v>
      </c>
      <c r="O316" s="290">
        <v>1</v>
      </c>
      <c r="P316" s="291" t="s">
        <v>92</v>
      </c>
      <c r="Q316" s="290"/>
      <c r="R316" s="290"/>
      <c r="S316" s="290"/>
      <c r="T316" s="290"/>
      <c r="U316" s="290"/>
      <c r="V316" s="290"/>
      <c r="X316" s="293" t="s">
        <v>92</v>
      </c>
    </row>
    <row r="317" spans="1:24" s="292" customFormat="1" ht="28.5" customHeight="1">
      <c r="A317" s="315" t="s">
        <v>250</v>
      </c>
      <c r="B317" s="295" t="s">
        <v>345</v>
      </c>
      <c r="C317" s="284"/>
      <c r="D317" s="294" t="s">
        <v>360</v>
      </c>
      <c r="E317" s="287"/>
      <c r="F317" s="286"/>
      <c r="G317" s="287"/>
      <c r="H317" s="349"/>
      <c r="I317" s="287"/>
      <c r="J317" s="287">
        <v>19.05</v>
      </c>
      <c r="K317" s="288"/>
      <c r="L317" s="288"/>
      <c r="M317" s="289"/>
      <c r="N317" s="316">
        <v>2</v>
      </c>
      <c r="O317" s="290">
        <v>1</v>
      </c>
      <c r="P317" s="291" t="s">
        <v>92</v>
      </c>
      <c r="Q317" s="290"/>
      <c r="R317" s="290"/>
      <c r="S317" s="290"/>
      <c r="T317" s="290"/>
      <c r="U317" s="290"/>
      <c r="V317" s="290"/>
      <c r="X317" s="293" t="s">
        <v>92</v>
      </c>
    </row>
    <row r="318" spans="1:24" s="248" customFormat="1" ht="28.5" customHeight="1">
      <c r="A318" s="266" t="s">
        <v>249</v>
      </c>
      <c r="B318" s="267" t="s">
        <v>345</v>
      </c>
      <c r="C318" s="256"/>
      <c r="D318" s="268" t="s">
        <v>365</v>
      </c>
      <c r="E318" s="259"/>
      <c r="F318" s="258"/>
      <c r="G318" s="259"/>
      <c r="H318" s="271"/>
      <c r="I318" s="259"/>
      <c r="J318" s="259">
        <v>243.65</v>
      </c>
      <c r="K318" s="260"/>
      <c r="L318" s="260"/>
      <c r="M318" s="261"/>
      <c r="N318" s="262">
        <v>1</v>
      </c>
      <c r="O318" s="263">
        <v>1</v>
      </c>
      <c r="P318" s="247" t="s">
        <v>92</v>
      </c>
      <c r="Q318" s="263"/>
      <c r="R318" s="263"/>
      <c r="S318" s="263"/>
      <c r="T318" s="263"/>
      <c r="U318" s="263"/>
      <c r="V318" s="263"/>
      <c r="X318" s="264" t="s">
        <v>92</v>
      </c>
    </row>
    <row r="319" spans="1:24" s="292" customFormat="1" ht="28.5" customHeight="1">
      <c r="A319" s="315" t="s">
        <v>250</v>
      </c>
      <c r="B319" s="295" t="s">
        <v>345</v>
      </c>
      <c r="C319" s="284"/>
      <c r="D319" s="294" t="s">
        <v>179</v>
      </c>
      <c r="E319" s="285"/>
      <c r="F319" s="286"/>
      <c r="G319" s="287"/>
      <c r="H319" s="287"/>
      <c r="I319" s="287"/>
      <c r="J319" s="287">
        <v>19.25</v>
      </c>
      <c r="K319" s="288"/>
      <c r="L319" s="288"/>
      <c r="M319" s="289"/>
      <c r="N319" s="316">
        <v>2</v>
      </c>
      <c r="O319" s="290">
        <v>1</v>
      </c>
      <c r="P319" s="291"/>
      <c r="Q319" s="290"/>
      <c r="R319" s="290"/>
      <c r="S319" s="290"/>
      <c r="T319" s="290"/>
      <c r="U319" s="290"/>
      <c r="V319" s="290"/>
      <c r="X319" s="293"/>
    </row>
    <row r="320" spans="1:24" s="292" customFormat="1" ht="28.5" customHeight="1">
      <c r="A320" s="315" t="s">
        <v>250</v>
      </c>
      <c r="B320" s="295" t="s">
        <v>345</v>
      </c>
      <c r="C320" s="284"/>
      <c r="D320" s="294" t="s">
        <v>362</v>
      </c>
      <c r="E320" s="296"/>
      <c r="F320" s="286"/>
      <c r="G320" s="287"/>
      <c r="H320" s="287"/>
      <c r="I320" s="287"/>
      <c r="J320" s="287">
        <v>7.93</v>
      </c>
      <c r="K320" s="288"/>
      <c r="L320" s="288"/>
      <c r="M320" s="289"/>
      <c r="N320" s="316">
        <v>2</v>
      </c>
      <c r="O320" s="290">
        <v>1</v>
      </c>
      <c r="P320" s="291"/>
      <c r="Q320" s="290"/>
      <c r="R320" s="290"/>
      <c r="S320" s="290"/>
      <c r="T320" s="290"/>
      <c r="U320" s="290"/>
      <c r="V320" s="290"/>
      <c r="X320" s="293"/>
    </row>
    <row r="321" spans="1:24" s="292" customFormat="1" ht="28.5" customHeight="1">
      <c r="A321" s="315" t="s">
        <v>251</v>
      </c>
      <c r="B321" s="295" t="s">
        <v>345</v>
      </c>
      <c r="C321" s="284"/>
      <c r="D321" s="294" t="s">
        <v>366</v>
      </c>
      <c r="E321" s="287"/>
      <c r="F321" s="286"/>
      <c r="G321" s="287"/>
      <c r="H321" s="349"/>
      <c r="I321" s="287"/>
      <c r="J321" s="287">
        <v>98.28</v>
      </c>
      <c r="K321" s="288"/>
      <c r="L321" s="288"/>
      <c r="M321" s="289"/>
      <c r="N321" s="316">
        <v>3</v>
      </c>
      <c r="O321" s="290">
        <v>1</v>
      </c>
      <c r="P321" s="291"/>
      <c r="Q321" s="290"/>
      <c r="R321" s="290"/>
      <c r="S321" s="290"/>
      <c r="T321" s="290"/>
      <c r="U321" s="290"/>
      <c r="V321" s="290"/>
      <c r="X321" s="293"/>
    </row>
    <row r="324" spans="1:24" ht="23.25">
      <c r="D324" s="348" t="s">
        <v>424</v>
      </c>
    </row>
    <row r="325" spans="1:24" s="362" customFormat="1" ht="28.5" customHeight="1">
      <c r="A325" s="350" t="s">
        <v>250</v>
      </c>
      <c r="B325" s="351" t="s">
        <v>422</v>
      </c>
      <c r="C325" s="352"/>
      <c r="D325" s="353" t="s">
        <v>358</v>
      </c>
      <c r="E325" s="354"/>
      <c r="F325" s="355"/>
      <c r="G325" s="356"/>
      <c r="H325" s="356"/>
      <c r="I325" s="356"/>
      <c r="J325" s="356">
        <f>2.71</f>
        <v>2.71</v>
      </c>
      <c r="K325" s="357"/>
      <c r="L325" s="357"/>
      <c r="M325" s="358"/>
      <c r="N325" s="359" t="s">
        <v>48</v>
      </c>
      <c r="O325" s="360">
        <v>2</v>
      </c>
      <c r="P325" s="361" t="s">
        <v>92</v>
      </c>
      <c r="Q325" s="360"/>
      <c r="R325" s="360"/>
      <c r="S325" s="360"/>
      <c r="T325" s="360"/>
      <c r="U325" s="360"/>
      <c r="V325" s="360"/>
      <c r="X325" s="363" t="s">
        <v>92</v>
      </c>
    </row>
    <row r="326" spans="1:24" s="362" customFormat="1" ht="28.5" customHeight="1">
      <c r="A326" s="350" t="s">
        <v>250</v>
      </c>
      <c r="B326" s="351" t="s">
        <v>422</v>
      </c>
      <c r="C326" s="352"/>
      <c r="D326" s="353" t="s">
        <v>359</v>
      </c>
      <c r="E326" s="354"/>
      <c r="F326" s="355"/>
      <c r="G326" s="356"/>
      <c r="H326" s="356"/>
      <c r="I326" s="356"/>
      <c r="J326" s="356">
        <f>2.81</f>
        <v>2.81</v>
      </c>
      <c r="K326" s="357"/>
      <c r="L326" s="357"/>
      <c r="M326" s="358"/>
      <c r="N326" s="359" t="s">
        <v>48</v>
      </c>
      <c r="O326" s="360">
        <v>2</v>
      </c>
      <c r="P326" s="361" t="s">
        <v>92</v>
      </c>
      <c r="Q326" s="360"/>
      <c r="R326" s="360"/>
      <c r="S326" s="360"/>
      <c r="T326" s="360"/>
      <c r="U326" s="360"/>
      <c r="V326" s="360"/>
      <c r="X326" s="363" t="s">
        <v>92</v>
      </c>
    </row>
    <row r="329" spans="1:24" s="4" customFormat="1" ht="23.25">
      <c r="B329" s="230"/>
      <c r="D329" s="348" t="s">
        <v>423</v>
      </c>
      <c r="N329" s="230"/>
    </row>
    <row r="330" spans="1:24" s="362" customFormat="1" ht="28.5" customHeight="1">
      <c r="A330" s="350" t="s">
        <v>250</v>
      </c>
      <c r="B330" s="351" t="s">
        <v>347</v>
      </c>
      <c r="C330" s="352"/>
      <c r="D330" s="353" t="s">
        <v>361</v>
      </c>
      <c r="E330" s="364"/>
      <c r="F330" s="355"/>
      <c r="G330" s="356"/>
      <c r="H330" s="356"/>
      <c r="I330" s="356"/>
      <c r="J330" s="356">
        <v>38.479999999999997</v>
      </c>
      <c r="K330" s="357"/>
      <c r="L330" s="357"/>
      <c r="M330" s="358"/>
      <c r="N330" s="359">
        <v>2</v>
      </c>
      <c r="O330" s="360">
        <v>3</v>
      </c>
      <c r="P330" s="361"/>
      <c r="Q330" s="360"/>
      <c r="R330" s="360"/>
      <c r="S330" s="360"/>
      <c r="T330" s="360"/>
      <c r="U330" s="360"/>
      <c r="V330" s="360"/>
      <c r="X330" s="363"/>
    </row>
    <row r="331" spans="1:24" s="362" customFormat="1" ht="28.5" customHeight="1">
      <c r="A331" s="350" t="s">
        <v>250</v>
      </c>
      <c r="B331" s="351" t="s">
        <v>347</v>
      </c>
      <c r="C331" s="352"/>
      <c r="D331" s="353" t="s">
        <v>353</v>
      </c>
      <c r="E331" s="364"/>
      <c r="F331" s="355"/>
      <c r="G331" s="356"/>
      <c r="H331" s="356"/>
      <c r="I331" s="356"/>
      <c r="J331" s="356">
        <v>37.01</v>
      </c>
      <c r="K331" s="357"/>
      <c r="L331" s="357"/>
      <c r="M331" s="358"/>
      <c r="N331" s="359">
        <v>2</v>
      </c>
      <c r="O331" s="360">
        <v>3</v>
      </c>
      <c r="P331" s="361"/>
      <c r="Q331" s="360"/>
      <c r="R331" s="360"/>
      <c r="S331" s="360"/>
      <c r="T331" s="360"/>
      <c r="U331" s="360"/>
      <c r="V331" s="360"/>
      <c r="X331" s="363"/>
    </row>
    <row r="332" spans="1:24" s="362" customFormat="1" ht="28.5" customHeight="1">
      <c r="A332" s="350" t="s">
        <v>250</v>
      </c>
      <c r="B332" s="351" t="s">
        <v>347</v>
      </c>
      <c r="C332" s="352"/>
      <c r="D332" s="353" t="s">
        <v>363</v>
      </c>
      <c r="E332" s="354"/>
      <c r="F332" s="355"/>
      <c r="G332" s="356"/>
      <c r="H332" s="356"/>
      <c r="I332" s="356"/>
      <c r="J332" s="356">
        <v>4.1100000000000003</v>
      </c>
      <c r="K332" s="357"/>
      <c r="L332" s="357"/>
      <c r="M332" s="358"/>
      <c r="N332" s="359">
        <v>2</v>
      </c>
      <c r="O332" s="360">
        <v>3</v>
      </c>
      <c r="P332" s="361"/>
      <c r="Q332" s="360"/>
      <c r="R332" s="360"/>
      <c r="S332" s="360"/>
      <c r="T332" s="360"/>
      <c r="U332" s="360"/>
      <c r="V332" s="360"/>
      <c r="X332" s="363"/>
    </row>
    <row r="333" spans="1:24" s="362" customFormat="1" ht="28.5" customHeight="1">
      <c r="A333" s="350" t="s">
        <v>250</v>
      </c>
      <c r="B333" s="351" t="s">
        <v>347</v>
      </c>
      <c r="C333" s="352"/>
      <c r="D333" s="353" t="s">
        <v>364</v>
      </c>
      <c r="E333" s="354"/>
      <c r="F333" s="355"/>
      <c r="G333" s="356"/>
      <c r="H333" s="356"/>
      <c r="I333" s="356"/>
      <c r="J333" s="356">
        <v>4.76</v>
      </c>
      <c r="K333" s="357"/>
      <c r="L333" s="357"/>
      <c r="M333" s="358"/>
      <c r="N333" s="359">
        <v>2</v>
      </c>
      <c r="O333" s="360">
        <v>3</v>
      </c>
      <c r="P333" s="361"/>
      <c r="Q333" s="360"/>
      <c r="R333" s="360"/>
      <c r="S333" s="360"/>
      <c r="T333" s="360"/>
      <c r="U333" s="360"/>
      <c r="V333" s="360"/>
      <c r="X333" s="363"/>
    </row>
    <row r="336" spans="1:24" s="4" customFormat="1" ht="23.25">
      <c r="B336" s="230"/>
      <c r="D336" s="348" t="s">
        <v>251</v>
      </c>
      <c r="N336" s="230"/>
    </row>
    <row r="337" spans="1:24" s="292" customFormat="1" ht="28.5" customHeight="1">
      <c r="A337" s="315" t="s">
        <v>250</v>
      </c>
      <c r="B337" s="295" t="s">
        <v>345</v>
      </c>
      <c r="C337" s="284"/>
      <c r="D337" s="294" t="s">
        <v>109</v>
      </c>
      <c r="E337" s="285"/>
      <c r="F337" s="286"/>
      <c r="G337" s="287"/>
      <c r="H337" s="287"/>
      <c r="I337" s="287"/>
      <c r="J337" s="287">
        <v>56.35</v>
      </c>
      <c r="K337" s="288"/>
      <c r="L337" s="288"/>
      <c r="M337" s="289"/>
      <c r="N337" s="316">
        <v>2</v>
      </c>
      <c r="O337" s="290">
        <v>1</v>
      </c>
      <c r="P337" s="291" t="s">
        <v>92</v>
      </c>
      <c r="Q337" s="290"/>
      <c r="R337" s="290"/>
      <c r="S337" s="290"/>
      <c r="T337" s="290"/>
      <c r="U337" s="290"/>
      <c r="V337" s="290"/>
      <c r="X337" s="293" t="s">
        <v>92</v>
      </c>
    </row>
    <row r="338" spans="1:24" s="292" customFormat="1" ht="23.25">
      <c r="A338" s="315" t="s">
        <v>250</v>
      </c>
      <c r="B338" s="295" t="s">
        <v>345</v>
      </c>
      <c r="C338" s="284"/>
      <c r="D338" s="294" t="s">
        <v>110</v>
      </c>
      <c r="E338" s="285"/>
      <c r="F338" s="286"/>
      <c r="G338" s="287"/>
      <c r="H338" s="287"/>
      <c r="I338" s="287"/>
      <c r="J338" s="287">
        <v>55.75</v>
      </c>
      <c r="K338" s="288"/>
      <c r="L338" s="288"/>
      <c r="M338" s="289"/>
      <c r="N338" s="316">
        <v>2</v>
      </c>
      <c r="O338" s="290">
        <v>1</v>
      </c>
      <c r="P338" s="291" t="s">
        <v>92</v>
      </c>
      <c r="Q338" s="290"/>
      <c r="R338" s="290"/>
      <c r="S338" s="290"/>
      <c r="T338" s="290"/>
      <c r="U338" s="290"/>
      <c r="V338" s="290"/>
      <c r="X338" s="293" t="s">
        <v>92</v>
      </c>
    </row>
    <row r="339" spans="1:24" s="292" customFormat="1" ht="28.5" customHeight="1">
      <c r="A339" s="315" t="s">
        <v>250</v>
      </c>
      <c r="B339" s="295" t="s">
        <v>345</v>
      </c>
      <c r="C339" s="284"/>
      <c r="D339" s="294" t="s">
        <v>111</v>
      </c>
      <c r="E339" s="285"/>
      <c r="F339" s="286"/>
      <c r="G339" s="287"/>
      <c r="H339" s="287"/>
      <c r="I339" s="287"/>
      <c r="J339" s="287">
        <v>56.53</v>
      </c>
      <c r="K339" s="288"/>
      <c r="L339" s="288"/>
      <c r="M339" s="289"/>
      <c r="N339" s="316">
        <v>2</v>
      </c>
      <c r="O339" s="290">
        <v>1</v>
      </c>
      <c r="P339" s="291" t="s">
        <v>92</v>
      </c>
      <c r="Q339" s="290"/>
      <c r="R339" s="290"/>
      <c r="S339" s="290"/>
      <c r="T339" s="290"/>
      <c r="U339" s="290"/>
      <c r="V339" s="290"/>
      <c r="X339" s="293" t="s">
        <v>92</v>
      </c>
    </row>
    <row r="340" spans="1:24" s="292" customFormat="1" ht="28.5" customHeight="1">
      <c r="A340" s="315" t="s">
        <v>250</v>
      </c>
      <c r="B340" s="295" t="s">
        <v>345</v>
      </c>
      <c r="C340" s="284"/>
      <c r="D340" s="294" t="s">
        <v>112</v>
      </c>
      <c r="E340" s="285"/>
      <c r="F340" s="286"/>
      <c r="G340" s="287"/>
      <c r="H340" s="287"/>
      <c r="I340" s="287"/>
      <c r="J340" s="287">
        <v>56.14</v>
      </c>
      <c r="K340" s="288"/>
      <c r="L340" s="288"/>
      <c r="M340" s="289"/>
      <c r="N340" s="316">
        <v>2</v>
      </c>
      <c r="O340" s="290">
        <v>1</v>
      </c>
      <c r="P340" s="291" t="s">
        <v>92</v>
      </c>
      <c r="Q340" s="290"/>
      <c r="R340" s="290"/>
      <c r="S340" s="290"/>
      <c r="T340" s="290"/>
      <c r="U340" s="290"/>
      <c r="V340" s="290"/>
      <c r="X340" s="293" t="s">
        <v>92</v>
      </c>
    </row>
    <row r="341" spans="1:24" s="292" customFormat="1" ht="28.5" customHeight="1">
      <c r="A341" s="315" t="s">
        <v>250</v>
      </c>
      <c r="B341" s="295" t="s">
        <v>345</v>
      </c>
      <c r="C341" s="284"/>
      <c r="D341" s="294" t="s">
        <v>113</v>
      </c>
      <c r="E341" s="285"/>
      <c r="F341" s="286"/>
      <c r="G341" s="287"/>
      <c r="H341" s="287"/>
      <c r="I341" s="287"/>
      <c r="J341" s="287">
        <v>53.34</v>
      </c>
      <c r="K341" s="288"/>
      <c r="L341" s="288"/>
      <c r="M341" s="289"/>
      <c r="N341" s="316">
        <v>2</v>
      </c>
      <c r="O341" s="290">
        <v>1</v>
      </c>
      <c r="P341" s="291" t="s">
        <v>92</v>
      </c>
      <c r="Q341" s="290"/>
      <c r="R341" s="290"/>
      <c r="S341" s="290"/>
      <c r="T341" s="290"/>
      <c r="U341" s="290"/>
      <c r="V341" s="290"/>
      <c r="X341" s="293" t="s">
        <v>92</v>
      </c>
    </row>
    <row r="342" spans="1:24" s="292" customFormat="1" ht="28.5" customHeight="1">
      <c r="A342" s="315" t="s">
        <v>250</v>
      </c>
      <c r="B342" s="295" t="s">
        <v>345</v>
      </c>
      <c r="C342" s="284"/>
      <c r="D342" s="294" t="s">
        <v>114</v>
      </c>
      <c r="E342" s="285"/>
      <c r="F342" s="286"/>
      <c r="G342" s="287"/>
      <c r="H342" s="287"/>
      <c r="I342" s="287"/>
      <c r="J342" s="287">
        <v>56.04</v>
      </c>
      <c r="K342" s="288"/>
      <c r="L342" s="288"/>
      <c r="M342" s="289"/>
      <c r="N342" s="316">
        <v>2</v>
      </c>
      <c r="O342" s="290">
        <v>1</v>
      </c>
      <c r="P342" s="291" t="s">
        <v>92</v>
      </c>
      <c r="Q342" s="290"/>
      <c r="R342" s="290"/>
      <c r="S342" s="290"/>
      <c r="T342" s="290"/>
      <c r="U342" s="290"/>
      <c r="V342" s="290"/>
      <c r="X342" s="293" t="s">
        <v>92</v>
      </c>
    </row>
    <row r="343" spans="1:24" s="292" customFormat="1" ht="28.5" customHeight="1">
      <c r="A343" s="315" t="s">
        <v>250</v>
      </c>
      <c r="B343" s="295" t="s">
        <v>345</v>
      </c>
      <c r="C343" s="284"/>
      <c r="D343" s="294" t="s">
        <v>115</v>
      </c>
      <c r="E343" s="296"/>
      <c r="F343" s="286"/>
      <c r="G343" s="287"/>
      <c r="H343" s="287"/>
      <c r="I343" s="287"/>
      <c r="J343" s="287">
        <v>56.31</v>
      </c>
      <c r="K343" s="288"/>
      <c r="L343" s="288"/>
      <c r="M343" s="289"/>
      <c r="N343" s="316">
        <v>2</v>
      </c>
      <c r="O343" s="290">
        <v>1</v>
      </c>
      <c r="P343" s="291" t="s">
        <v>92</v>
      </c>
      <c r="Q343" s="290"/>
      <c r="R343" s="290"/>
      <c r="S343" s="290"/>
      <c r="T343" s="290"/>
      <c r="U343" s="290"/>
      <c r="V343" s="290"/>
      <c r="X343" s="293" t="s">
        <v>92</v>
      </c>
    </row>
    <row r="344" spans="1:24" s="292" customFormat="1" ht="28.5" customHeight="1">
      <c r="A344" s="315" t="s">
        <v>250</v>
      </c>
      <c r="B344" s="295" t="s">
        <v>345</v>
      </c>
      <c r="C344" s="284"/>
      <c r="D344" s="294" t="s">
        <v>116</v>
      </c>
      <c r="E344" s="296"/>
      <c r="F344" s="286"/>
      <c r="G344" s="287"/>
      <c r="H344" s="287"/>
      <c r="I344" s="287"/>
      <c r="J344" s="287">
        <v>56.49</v>
      </c>
      <c r="K344" s="288"/>
      <c r="L344" s="288"/>
      <c r="M344" s="289"/>
      <c r="N344" s="316">
        <v>2</v>
      </c>
      <c r="O344" s="290">
        <v>1</v>
      </c>
      <c r="P344" s="291" t="s">
        <v>92</v>
      </c>
      <c r="Q344" s="290"/>
      <c r="R344" s="290"/>
      <c r="S344" s="290"/>
      <c r="T344" s="290"/>
      <c r="U344" s="290"/>
      <c r="V344" s="290"/>
      <c r="X344" s="293" t="s">
        <v>92</v>
      </c>
    </row>
    <row r="345" spans="1:24" s="292" customFormat="1" ht="28.5" customHeight="1">
      <c r="A345" s="315" t="s">
        <v>250</v>
      </c>
      <c r="B345" s="295" t="s">
        <v>345</v>
      </c>
      <c r="C345" s="284"/>
      <c r="D345" s="294" t="s">
        <v>176</v>
      </c>
      <c r="E345" s="287"/>
      <c r="F345" s="286"/>
      <c r="G345" s="287"/>
      <c r="H345" s="349"/>
      <c r="I345" s="287"/>
      <c r="J345" s="287">
        <v>57.03</v>
      </c>
      <c r="K345" s="288"/>
      <c r="L345" s="288"/>
      <c r="M345" s="289"/>
      <c r="N345" s="316">
        <v>2</v>
      </c>
      <c r="O345" s="290">
        <v>1</v>
      </c>
      <c r="P345" s="291" t="s">
        <v>92</v>
      </c>
      <c r="Q345" s="290"/>
      <c r="R345" s="290"/>
      <c r="S345" s="290"/>
      <c r="T345" s="290"/>
      <c r="U345" s="290"/>
      <c r="V345" s="290"/>
      <c r="X345" s="293" t="s">
        <v>92</v>
      </c>
    </row>
    <row r="346" spans="1:24" s="292" customFormat="1" ht="28.5" customHeight="1">
      <c r="A346" s="315" t="s">
        <v>250</v>
      </c>
      <c r="B346" s="295" t="s">
        <v>345</v>
      </c>
      <c r="C346" s="284"/>
      <c r="D346" s="294" t="s">
        <v>175</v>
      </c>
      <c r="E346" s="287"/>
      <c r="F346" s="286"/>
      <c r="G346" s="287"/>
      <c r="H346" s="349"/>
      <c r="I346" s="287"/>
      <c r="J346" s="287">
        <v>56.4</v>
      </c>
      <c r="K346" s="288"/>
      <c r="L346" s="288"/>
      <c r="M346" s="289"/>
      <c r="N346" s="316">
        <v>2</v>
      </c>
      <c r="O346" s="290">
        <v>1</v>
      </c>
      <c r="P346" s="291" t="s">
        <v>92</v>
      </c>
      <c r="Q346" s="290"/>
      <c r="R346" s="290"/>
      <c r="S346" s="290"/>
      <c r="T346" s="290"/>
      <c r="U346" s="290"/>
      <c r="V346" s="290"/>
      <c r="X346" s="293" t="s">
        <v>92</v>
      </c>
    </row>
    <row r="347" spans="1:24" s="292" customFormat="1" ht="28.5" customHeight="1">
      <c r="A347" s="315" t="s">
        <v>250</v>
      </c>
      <c r="B347" s="295" t="s">
        <v>345</v>
      </c>
      <c r="C347" s="284"/>
      <c r="D347" s="294" t="s">
        <v>174</v>
      </c>
      <c r="E347" s="296"/>
      <c r="F347" s="286"/>
      <c r="G347" s="287"/>
      <c r="H347" s="287"/>
      <c r="I347" s="287"/>
      <c r="J347" s="287">
        <v>56.4</v>
      </c>
      <c r="K347" s="288"/>
      <c r="L347" s="288"/>
      <c r="M347" s="289"/>
      <c r="N347" s="316">
        <v>2</v>
      </c>
      <c r="O347" s="290">
        <v>1</v>
      </c>
      <c r="P347" s="291" t="s">
        <v>92</v>
      </c>
      <c r="Q347" s="290"/>
      <c r="R347" s="290"/>
      <c r="S347" s="290"/>
      <c r="T347" s="290"/>
      <c r="U347" s="290"/>
      <c r="V347" s="290"/>
      <c r="X347" s="293" t="s">
        <v>92</v>
      </c>
    </row>
    <row r="348" spans="1:24" s="292" customFormat="1" ht="28.5" customHeight="1">
      <c r="A348" s="315" t="s">
        <v>250</v>
      </c>
      <c r="B348" s="295" t="s">
        <v>345</v>
      </c>
      <c r="C348" s="284"/>
      <c r="D348" s="294" t="s">
        <v>121</v>
      </c>
      <c r="E348" s="287"/>
      <c r="F348" s="286"/>
      <c r="G348" s="287"/>
      <c r="H348" s="287"/>
      <c r="I348" s="287"/>
      <c r="J348" s="287">
        <v>55.61</v>
      </c>
      <c r="K348" s="288"/>
      <c r="L348" s="288"/>
      <c r="M348" s="289"/>
      <c r="N348" s="316">
        <v>2</v>
      </c>
      <c r="O348" s="290">
        <v>1</v>
      </c>
      <c r="P348" s="291" t="s">
        <v>92</v>
      </c>
      <c r="Q348" s="290"/>
      <c r="R348" s="290"/>
      <c r="S348" s="290"/>
      <c r="T348" s="290"/>
      <c r="U348" s="290"/>
      <c r="V348" s="290"/>
      <c r="X348" s="293" t="s">
        <v>92</v>
      </c>
    </row>
    <row r="349" spans="1:24" s="292" customFormat="1" ht="28.5" customHeight="1">
      <c r="A349" s="315" t="s">
        <v>250</v>
      </c>
      <c r="B349" s="295" t="s">
        <v>345</v>
      </c>
      <c r="C349" s="284"/>
      <c r="D349" s="294" t="s">
        <v>354</v>
      </c>
      <c r="E349" s="287"/>
      <c r="F349" s="286"/>
      <c r="G349" s="287"/>
      <c r="H349" s="287"/>
      <c r="I349" s="287"/>
      <c r="J349" s="287">
        <v>20.66</v>
      </c>
      <c r="K349" s="288"/>
      <c r="L349" s="288"/>
      <c r="M349" s="289"/>
      <c r="N349" s="316">
        <v>2</v>
      </c>
      <c r="O349" s="290">
        <v>1</v>
      </c>
      <c r="P349" s="291" t="s">
        <v>92</v>
      </c>
      <c r="Q349" s="290"/>
      <c r="R349" s="290"/>
      <c r="S349" s="290"/>
      <c r="T349" s="290"/>
      <c r="U349" s="290"/>
      <c r="V349" s="290"/>
      <c r="X349" s="293" t="s">
        <v>92</v>
      </c>
    </row>
    <row r="350" spans="1:24" s="292" customFormat="1" ht="28.5" customHeight="1">
      <c r="A350" s="315" t="s">
        <v>250</v>
      </c>
      <c r="B350" s="295" t="s">
        <v>345</v>
      </c>
      <c r="C350" s="284"/>
      <c r="D350" s="294" t="s">
        <v>355</v>
      </c>
      <c r="E350" s="296"/>
      <c r="F350" s="286"/>
      <c r="G350" s="287"/>
      <c r="H350" s="287"/>
      <c r="I350" s="287"/>
      <c r="J350" s="287">
        <v>23.67</v>
      </c>
      <c r="K350" s="288"/>
      <c r="L350" s="288"/>
      <c r="M350" s="289"/>
      <c r="N350" s="316">
        <v>2</v>
      </c>
      <c r="O350" s="290">
        <v>1</v>
      </c>
      <c r="P350" s="291" t="s">
        <v>92</v>
      </c>
      <c r="Q350" s="290"/>
      <c r="R350" s="290"/>
      <c r="S350" s="290"/>
      <c r="T350" s="290"/>
      <c r="U350" s="290"/>
      <c r="V350" s="290"/>
      <c r="X350" s="293" t="s">
        <v>92</v>
      </c>
    </row>
    <row r="351" spans="1:24" s="292" customFormat="1" ht="28.5" customHeight="1">
      <c r="A351" s="315" t="s">
        <v>250</v>
      </c>
      <c r="B351" s="295" t="s">
        <v>345</v>
      </c>
      <c r="C351" s="284"/>
      <c r="D351" s="294" t="s">
        <v>356</v>
      </c>
      <c r="E351" s="287"/>
      <c r="F351" s="286"/>
      <c r="G351" s="287"/>
      <c r="H351" s="349"/>
      <c r="I351" s="287"/>
      <c r="J351" s="287">
        <v>19.21</v>
      </c>
      <c r="K351" s="288"/>
      <c r="L351" s="288"/>
      <c r="M351" s="289"/>
      <c r="N351" s="316">
        <v>2</v>
      </c>
      <c r="O351" s="290">
        <v>1</v>
      </c>
      <c r="P351" s="291" t="s">
        <v>92</v>
      </c>
      <c r="Q351" s="290"/>
      <c r="R351" s="290"/>
      <c r="S351" s="290"/>
      <c r="T351" s="290"/>
      <c r="U351" s="290"/>
      <c r="V351" s="290"/>
      <c r="X351" s="293" t="s">
        <v>92</v>
      </c>
    </row>
    <row r="352" spans="1:24" s="292" customFormat="1" ht="28.5" customHeight="1">
      <c r="A352" s="315" t="s">
        <v>250</v>
      </c>
      <c r="B352" s="295" t="s">
        <v>345</v>
      </c>
      <c r="C352" s="284"/>
      <c r="D352" s="294" t="s">
        <v>357</v>
      </c>
      <c r="E352" s="296"/>
      <c r="F352" s="286"/>
      <c r="G352" s="287"/>
      <c r="H352" s="287"/>
      <c r="I352" s="287"/>
      <c r="J352" s="287">
        <v>23.62</v>
      </c>
      <c r="K352" s="288"/>
      <c r="L352" s="288"/>
      <c r="M352" s="289"/>
      <c r="N352" s="316">
        <v>2</v>
      </c>
      <c r="O352" s="290">
        <v>1</v>
      </c>
      <c r="P352" s="291" t="s">
        <v>92</v>
      </c>
      <c r="Q352" s="290"/>
      <c r="R352" s="290"/>
      <c r="S352" s="290"/>
      <c r="T352" s="290"/>
      <c r="U352" s="290"/>
      <c r="V352" s="290"/>
      <c r="X352" s="293" t="s">
        <v>92</v>
      </c>
    </row>
    <row r="353" spans="1:24" s="292" customFormat="1" ht="28.5" customHeight="1">
      <c r="A353" s="315" t="s">
        <v>250</v>
      </c>
      <c r="B353" s="295" t="s">
        <v>345</v>
      </c>
      <c r="C353" s="284"/>
      <c r="D353" s="294" t="s">
        <v>360</v>
      </c>
      <c r="E353" s="287"/>
      <c r="F353" s="286"/>
      <c r="G353" s="287"/>
      <c r="H353" s="349"/>
      <c r="I353" s="287"/>
      <c r="J353" s="287">
        <v>19.05</v>
      </c>
      <c r="K353" s="288"/>
      <c r="L353" s="288"/>
      <c r="M353" s="289"/>
      <c r="N353" s="316">
        <v>2</v>
      </c>
      <c r="O353" s="290">
        <v>1</v>
      </c>
      <c r="P353" s="291" t="s">
        <v>92</v>
      </c>
      <c r="Q353" s="290"/>
      <c r="R353" s="290"/>
      <c r="S353" s="290"/>
      <c r="T353" s="290"/>
      <c r="U353" s="290"/>
      <c r="V353" s="290"/>
      <c r="X353" s="293" t="s">
        <v>92</v>
      </c>
    </row>
    <row r="354" spans="1:24" s="292" customFormat="1" ht="28.5" customHeight="1">
      <c r="A354" s="315" t="s">
        <v>250</v>
      </c>
      <c r="B354" s="295" t="s">
        <v>345</v>
      </c>
      <c r="C354" s="284"/>
      <c r="D354" s="294" t="s">
        <v>179</v>
      </c>
      <c r="E354" s="285"/>
      <c r="F354" s="286"/>
      <c r="G354" s="287"/>
      <c r="H354" s="287"/>
      <c r="I354" s="287"/>
      <c r="J354" s="287">
        <v>19.25</v>
      </c>
      <c r="K354" s="288"/>
      <c r="L354" s="288"/>
      <c r="M354" s="289"/>
      <c r="N354" s="316">
        <v>2</v>
      </c>
      <c r="O354" s="290">
        <v>1</v>
      </c>
      <c r="P354" s="291"/>
      <c r="Q354" s="290"/>
      <c r="R354" s="290"/>
      <c r="S354" s="290"/>
      <c r="T354" s="290"/>
      <c r="U354" s="290"/>
      <c r="V354" s="290"/>
      <c r="X354" s="293"/>
    </row>
    <row r="355" spans="1:24" s="292" customFormat="1" ht="28.5" customHeight="1">
      <c r="A355" s="315" t="s">
        <v>250</v>
      </c>
      <c r="B355" s="295" t="s">
        <v>345</v>
      </c>
      <c r="C355" s="284"/>
      <c r="D355" s="294" t="s">
        <v>362</v>
      </c>
      <c r="E355" s="296"/>
      <c r="F355" s="286"/>
      <c r="G355" s="287"/>
      <c r="H355" s="287"/>
      <c r="I355" s="287"/>
      <c r="J355" s="287">
        <v>7.93</v>
      </c>
      <c r="K355" s="288"/>
      <c r="L355" s="288"/>
      <c r="M355" s="289"/>
      <c r="N355" s="316">
        <v>2</v>
      </c>
      <c r="O355" s="290">
        <v>1</v>
      </c>
      <c r="P355" s="291"/>
      <c r="Q355" s="290"/>
      <c r="R355" s="290"/>
      <c r="S355" s="290"/>
      <c r="T355" s="290"/>
      <c r="U355" s="290"/>
      <c r="V355" s="290"/>
      <c r="X355" s="293"/>
    </row>
    <row r="356" spans="1:24" s="292" customFormat="1" ht="28.5" customHeight="1">
      <c r="A356" s="315" t="s">
        <v>251</v>
      </c>
      <c r="B356" s="295" t="s">
        <v>345</v>
      </c>
      <c r="C356" s="284"/>
      <c r="D356" s="294" t="s">
        <v>366</v>
      </c>
      <c r="E356" s="287"/>
      <c r="F356" s="286"/>
      <c r="G356" s="287"/>
      <c r="H356" s="349"/>
      <c r="I356" s="287"/>
      <c r="J356" s="287">
        <v>98.28</v>
      </c>
      <c r="K356" s="288"/>
      <c r="L356" s="288"/>
      <c r="M356" s="289"/>
      <c r="N356" s="316">
        <v>3</v>
      </c>
      <c r="O356" s="290">
        <v>1</v>
      </c>
      <c r="P356" s="291"/>
      <c r="Q356" s="290"/>
      <c r="R356" s="290"/>
      <c r="S356" s="290"/>
      <c r="T356" s="290"/>
      <c r="U356" s="290"/>
      <c r="V356" s="290"/>
      <c r="X356" s="293"/>
    </row>
    <row r="360" spans="1:24" s="310" customFormat="1" ht="28.5" customHeight="1">
      <c r="A360" s="298" t="s">
        <v>316</v>
      </c>
      <c r="B360" s="299" t="s">
        <v>188</v>
      </c>
      <c r="C360" s="300"/>
      <c r="D360" s="301" t="s">
        <v>425</v>
      </c>
      <c r="E360" s="302"/>
      <c r="F360" s="303"/>
      <c r="G360" s="304"/>
      <c r="H360" s="305"/>
      <c r="I360" s="305"/>
      <c r="J360" s="305"/>
      <c r="K360" s="306"/>
      <c r="L360" s="306"/>
      <c r="M360" s="307"/>
      <c r="N360" s="308" t="s">
        <v>316</v>
      </c>
      <c r="O360" s="308" t="s">
        <v>188</v>
      </c>
      <c r="P360" s="309" t="s">
        <v>92</v>
      </c>
      <c r="Q360" s="308"/>
      <c r="R360" s="308"/>
      <c r="S360" s="308"/>
      <c r="T360" s="308"/>
      <c r="U360" s="308"/>
      <c r="V360" s="308"/>
      <c r="X360" s="311" t="str">
        <f>IF(C360="sinapi","ok",IF(C360="orse","ok",IF(P360="título","título",IF(P360="intertítulo","intertítulo",""))))</f>
        <v/>
      </c>
    </row>
    <row r="361" spans="1:24" s="248" customFormat="1" ht="28.5" customHeight="1">
      <c r="A361" s="266" t="str">
        <f>IF(N361="NA","SEM COBERTA",IF(N361="R","REVISAR",VLOOKUP(N361,'auxiliar memoria'!$H$40:$I$47,2,FALSE)))</f>
        <v>REVISAR</v>
      </c>
      <c r="B361" s="267" t="str">
        <f>IF(N361="R",VLOOKUP(O361,'auxiliar memoria'!$H$40:$I$47,2,FALSE),VLOOKUP(O361,'auxiliar memoria'!$P$122:$Q$127,2,FALSE))</f>
        <v>forro em pvc</v>
      </c>
      <c r="C361" s="256"/>
      <c r="D361" s="268" t="s">
        <v>109</v>
      </c>
      <c r="E361" s="257"/>
      <c r="F361" s="258"/>
      <c r="G361" s="259"/>
      <c r="H361" s="259"/>
      <c r="I361" s="259"/>
      <c r="J361" s="259">
        <v>56.35</v>
      </c>
      <c r="K361" s="260"/>
      <c r="L361" s="260"/>
      <c r="M361" s="261"/>
      <c r="N361" s="262" t="s">
        <v>48</v>
      </c>
      <c r="O361" s="263">
        <v>4</v>
      </c>
      <c r="P361" s="247" t="s">
        <v>92</v>
      </c>
      <c r="Q361" s="263"/>
      <c r="R361" s="263"/>
      <c r="S361" s="263"/>
      <c r="T361" s="263"/>
      <c r="U361" s="263"/>
      <c r="V361" s="263"/>
      <c r="X361" s="264" t="str">
        <f>IF(C361="sinapi","ok",IF(C361="orse","ok",IF(P361="título","título",IF(P361="intertítulo","intertítulo",""))))</f>
        <v/>
      </c>
    </row>
    <row r="362" spans="1:24" s="248" customFormat="1" ht="23.25">
      <c r="A362" s="266" t="str">
        <f>IF(N362="NA","SEM COBERTA",IF(N362="R","REVISAR",VLOOKUP(N362,'auxiliar memoria'!$H$40:$I$47,2,FALSE)))</f>
        <v>REVISAR</v>
      </c>
      <c r="B362" s="267" t="str">
        <f>IF(N362="R",VLOOKUP(O362,'auxiliar memoria'!$H$40:$I$47,2,FALSE),VLOOKUP(O362,'auxiliar memoria'!$P$122:$Q$127,2,FALSE))</f>
        <v>forro em pvc</v>
      </c>
      <c r="C362" s="256"/>
      <c r="D362" s="268" t="s">
        <v>110</v>
      </c>
      <c r="E362" s="257"/>
      <c r="F362" s="258"/>
      <c r="G362" s="259"/>
      <c r="H362" s="259"/>
      <c r="I362" s="259"/>
      <c r="J362" s="259">
        <v>55.75</v>
      </c>
      <c r="K362" s="260"/>
      <c r="L362" s="260"/>
      <c r="M362" s="261"/>
      <c r="N362" s="262" t="s">
        <v>48</v>
      </c>
      <c r="O362" s="263">
        <v>4</v>
      </c>
      <c r="P362" s="247" t="s">
        <v>92</v>
      </c>
      <c r="Q362" s="263"/>
      <c r="R362" s="263"/>
      <c r="S362" s="263"/>
      <c r="T362" s="263"/>
      <c r="U362" s="263"/>
      <c r="V362" s="263"/>
      <c r="X362" s="264" t="str">
        <f>IF(C362="sinapi","ok",IF(C362="orse","ok",IF(P362="título","título",IF(P362="intertítulo","intertítulo",""))))</f>
        <v/>
      </c>
    </row>
    <row r="363" spans="1:24" s="248" customFormat="1" ht="28.5" customHeight="1">
      <c r="A363" s="266" t="str">
        <f>IF(N363="NA","SEM COBERTA",IF(N363="R","REVISAR",VLOOKUP(N363,'auxiliar memoria'!$H$40:$I$47,2,FALSE)))</f>
        <v>REVISAR</v>
      </c>
      <c r="B363" s="267" t="str">
        <f>IF(N363="R",VLOOKUP(O363,'auxiliar memoria'!$H$40:$I$47,2,FALSE),VLOOKUP(O363,'auxiliar memoria'!$P$122:$Q$127,2,FALSE))</f>
        <v>forro em pvc</v>
      </c>
      <c r="C363" s="256"/>
      <c r="D363" s="268" t="s">
        <v>111</v>
      </c>
      <c r="E363" s="257"/>
      <c r="F363" s="258"/>
      <c r="G363" s="259"/>
      <c r="H363" s="259"/>
      <c r="I363" s="259"/>
      <c r="J363" s="259">
        <v>56.53</v>
      </c>
      <c r="K363" s="260"/>
      <c r="L363" s="260"/>
      <c r="M363" s="261"/>
      <c r="N363" s="262" t="s">
        <v>48</v>
      </c>
      <c r="O363" s="263">
        <v>4</v>
      </c>
      <c r="P363" s="247" t="s">
        <v>92</v>
      </c>
      <c r="Q363" s="263"/>
      <c r="R363" s="263"/>
      <c r="S363" s="263"/>
      <c r="T363" s="263"/>
      <c r="U363" s="263"/>
      <c r="V363" s="263"/>
      <c r="X363" s="264" t="str">
        <f>IF(C363="sinapi","ok",IF(C363="orse","ok",IF(P363="título","título",IF(P363="intertítulo","intertítulo",""))))</f>
        <v/>
      </c>
    </row>
    <row r="364" spans="1:24" s="248" customFormat="1" ht="28.5" customHeight="1">
      <c r="A364" s="266" t="str">
        <f>IF(N364="NA","SEM COBERTA",IF(N364="R","REVISAR",VLOOKUP(N364,'auxiliar memoria'!$H$40:$I$47,2,FALSE)))</f>
        <v>REVISAR</v>
      </c>
      <c r="B364" s="267" t="str">
        <f>IF(N364="R",VLOOKUP(O364,'auxiliar memoria'!$H$40:$I$47,2,FALSE),VLOOKUP(O364,'auxiliar memoria'!$P$122:$Q$127,2,FALSE))</f>
        <v>forro em pvc</v>
      </c>
      <c r="C364" s="256"/>
      <c r="D364" s="268" t="s">
        <v>112</v>
      </c>
      <c r="E364" s="257"/>
      <c r="F364" s="258"/>
      <c r="G364" s="259"/>
      <c r="H364" s="259"/>
      <c r="I364" s="259"/>
      <c r="J364" s="259">
        <v>56.14</v>
      </c>
      <c r="K364" s="260"/>
      <c r="L364" s="260"/>
      <c r="M364" s="261"/>
      <c r="N364" s="262" t="s">
        <v>48</v>
      </c>
      <c r="O364" s="263">
        <v>4</v>
      </c>
      <c r="P364" s="247" t="s">
        <v>92</v>
      </c>
      <c r="Q364" s="263"/>
      <c r="R364" s="263"/>
      <c r="S364" s="263"/>
      <c r="T364" s="263"/>
      <c r="U364" s="263"/>
      <c r="V364" s="263"/>
      <c r="X364" s="264" t="str">
        <f>IF(C364="sinapi","ok",IF(C364="orse","ok",IF(P364="título","título",IF(P364="intertítulo","intertítulo",""))))</f>
        <v/>
      </c>
    </row>
    <row r="365" spans="1:24" s="248" customFormat="1" ht="28.5" customHeight="1">
      <c r="A365" s="266" t="str">
        <f>IF(N365="NA","SEM COBERTA",IF(N365="R","REVISAR",VLOOKUP(N365,'auxiliar memoria'!$H$40:$I$47,2,FALSE)))</f>
        <v>REVISAR</v>
      </c>
      <c r="B365" s="267" t="str">
        <f>IF(N365="R",VLOOKUP(O365,'auxiliar memoria'!$H$40:$I$47,2,FALSE),VLOOKUP(O365,'auxiliar memoria'!$P$122:$Q$127,2,FALSE))</f>
        <v>forro em pvc</v>
      </c>
      <c r="C365" s="256"/>
      <c r="D365" s="268" t="s">
        <v>113</v>
      </c>
      <c r="E365" s="257"/>
      <c r="F365" s="258"/>
      <c r="G365" s="259"/>
      <c r="H365" s="259"/>
      <c r="I365" s="259"/>
      <c r="J365" s="259">
        <v>53.34</v>
      </c>
      <c r="K365" s="260"/>
      <c r="L365" s="260"/>
      <c r="M365" s="261"/>
      <c r="N365" s="262" t="s">
        <v>48</v>
      </c>
      <c r="O365" s="263">
        <v>4</v>
      </c>
      <c r="P365" s="247" t="s">
        <v>92</v>
      </c>
      <c r="Q365" s="263"/>
      <c r="R365" s="263"/>
      <c r="S365" s="263"/>
      <c r="T365" s="263"/>
      <c r="U365" s="263"/>
      <c r="V365" s="263"/>
      <c r="X365" s="264" t="str">
        <f t="shared" ref="X365:X377" si="25">IF(C365="sinapi","ok",IF(C365="orse","ok",IF(P365="título","título",IF(P365="intertítulo","intertítulo",""))))</f>
        <v/>
      </c>
    </row>
    <row r="366" spans="1:24" s="248" customFormat="1" ht="28.5" customHeight="1">
      <c r="A366" s="266" t="str">
        <f>IF(N366="NA","SEM COBERTA",IF(N366="R","REVISAR",VLOOKUP(N366,'auxiliar memoria'!$H$40:$I$47,2,FALSE)))</f>
        <v>REVISAR</v>
      </c>
      <c r="B366" s="267" t="str">
        <f>IF(N366="R",VLOOKUP(O366,'auxiliar memoria'!$H$40:$I$47,2,FALSE),VLOOKUP(O366,'auxiliar memoria'!$P$122:$Q$127,2,FALSE))</f>
        <v>forro em pvc</v>
      </c>
      <c r="C366" s="256"/>
      <c r="D366" s="268" t="s">
        <v>114</v>
      </c>
      <c r="E366" s="257"/>
      <c r="F366" s="258"/>
      <c r="G366" s="259"/>
      <c r="H366" s="259"/>
      <c r="I366" s="259"/>
      <c r="J366" s="259">
        <v>56.04</v>
      </c>
      <c r="K366" s="260"/>
      <c r="L366" s="260"/>
      <c r="M366" s="261"/>
      <c r="N366" s="262" t="s">
        <v>48</v>
      </c>
      <c r="O366" s="263">
        <v>4</v>
      </c>
      <c r="P366" s="247" t="s">
        <v>92</v>
      </c>
      <c r="Q366" s="263"/>
      <c r="R366" s="263"/>
      <c r="S366" s="263"/>
      <c r="T366" s="263"/>
      <c r="U366" s="263"/>
      <c r="V366" s="263"/>
      <c r="X366" s="264" t="str">
        <f t="shared" si="25"/>
        <v/>
      </c>
    </row>
    <row r="367" spans="1:24" s="248" customFormat="1" ht="28.5" customHeight="1">
      <c r="A367" s="266" t="str">
        <f>IF(N367="NA","SEM COBERTA",IF(N367="R","REVISAR",VLOOKUP(N367,'auxiliar memoria'!$H$40:$I$47,2,FALSE)))</f>
        <v>REVISAR</v>
      </c>
      <c r="B367" s="267" t="str">
        <f>IF(N367="R",VLOOKUP(O367,'auxiliar memoria'!$H$40:$I$47,2,FALSE),VLOOKUP(O367,'auxiliar memoria'!$P$122:$Q$127,2,FALSE))</f>
        <v>forro em pvc</v>
      </c>
      <c r="C367" s="256"/>
      <c r="D367" s="268" t="s">
        <v>115</v>
      </c>
      <c r="E367" s="269"/>
      <c r="F367" s="258"/>
      <c r="G367" s="259"/>
      <c r="H367" s="259"/>
      <c r="I367" s="259"/>
      <c r="J367" s="259">
        <v>56.31</v>
      </c>
      <c r="K367" s="260"/>
      <c r="L367" s="260"/>
      <c r="M367" s="261"/>
      <c r="N367" s="262" t="s">
        <v>48</v>
      </c>
      <c r="O367" s="263">
        <v>4</v>
      </c>
      <c r="P367" s="247" t="s">
        <v>92</v>
      </c>
      <c r="Q367" s="263"/>
      <c r="R367" s="263"/>
      <c r="S367" s="263"/>
      <c r="T367" s="263"/>
      <c r="U367" s="263"/>
      <c r="V367" s="263"/>
      <c r="X367" s="264" t="str">
        <f t="shared" si="25"/>
        <v/>
      </c>
    </row>
    <row r="368" spans="1:24" s="248" customFormat="1" ht="28.5" customHeight="1">
      <c r="A368" s="266" t="str">
        <f>IF(N368="NA","SEM COBERTA",IF(N368="R","REVISAR",VLOOKUP(N368,'auxiliar memoria'!$H$40:$I$47,2,FALSE)))</f>
        <v>REVISAR</v>
      </c>
      <c r="B368" s="267" t="str">
        <f>IF(N368="R",VLOOKUP(O368,'auxiliar memoria'!$H$40:$I$47,2,FALSE),VLOOKUP(O368,'auxiliar memoria'!$P$122:$Q$127,2,FALSE))</f>
        <v>forro em pvc</v>
      </c>
      <c r="C368" s="256"/>
      <c r="D368" s="268" t="s">
        <v>116</v>
      </c>
      <c r="E368" s="269"/>
      <c r="F368" s="258"/>
      <c r="G368" s="259"/>
      <c r="H368" s="259"/>
      <c r="I368" s="259"/>
      <c r="J368" s="259">
        <v>56.49</v>
      </c>
      <c r="K368" s="260"/>
      <c r="L368" s="260"/>
      <c r="M368" s="261"/>
      <c r="N368" s="262" t="s">
        <v>48</v>
      </c>
      <c r="O368" s="263">
        <v>4</v>
      </c>
      <c r="P368" s="247" t="s">
        <v>92</v>
      </c>
      <c r="Q368" s="263"/>
      <c r="R368" s="263"/>
      <c r="S368" s="263"/>
      <c r="T368" s="263"/>
      <c r="U368" s="263"/>
      <c r="V368" s="263"/>
      <c r="X368" s="264" t="str">
        <f t="shared" si="25"/>
        <v/>
      </c>
    </row>
    <row r="369" spans="1:24" s="248" customFormat="1" ht="28.5" customHeight="1">
      <c r="A369" s="266" t="str">
        <f>IF(N369="NA","SEM COBERTA",IF(N369="R","REVISAR",VLOOKUP(N369,'auxiliar memoria'!$H$40:$I$47,2,FALSE)))</f>
        <v>REVISAR</v>
      </c>
      <c r="B369" s="267" t="str">
        <f>IF(N369="R",VLOOKUP(O369,'auxiliar memoria'!$H$40:$I$47,2,FALSE),VLOOKUP(O369,'auxiliar memoria'!$P$122:$Q$127,2,FALSE))</f>
        <v>forro em pvc</v>
      </c>
      <c r="C369" s="256"/>
      <c r="D369" s="268" t="s">
        <v>176</v>
      </c>
      <c r="E369" s="259"/>
      <c r="F369" s="258"/>
      <c r="G369" s="259"/>
      <c r="H369" s="270"/>
      <c r="I369" s="259"/>
      <c r="J369" s="259">
        <v>57.03</v>
      </c>
      <c r="K369" s="260"/>
      <c r="L369" s="260"/>
      <c r="M369" s="261"/>
      <c r="N369" s="262" t="s">
        <v>48</v>
      </c>
      <c r="O369" s="263">
        <v>4</v>
      </c>
      <c r="P369" s="247" t="s">
        <v>92</v>
      </c>
      <c r="Q369" s="263"/>
      <c r="R369" s="263"/>
      <c r="S369" s="263"/>
      <c r="T369" s="263"/>
      <c r="U369" s="263"/>
      <c r="V369" s="263"/>
      <c r="X369" s="264" t="str">
        <f t="shared" si="25"/>
        <v/>
      </c>
    </row>
    <row r="370" spans="1:24" s="248" customFormat="1" ht="28.5" customHeight="1">
      <c r="A370" s="266" t="str">
        <f>IF(N370="NA","SEM COBERTA",IF(N370="R","REVISAR",VLOOKUP(N370,'auxiliar memoria'!$H$40:$I$47,2,FALSE)))</f>
        <v>REVISAR</v>
      </c>
      <c r="B370" s="267" t="str">
        <f>IF(N370="R",VLOOKUP(O370,'auxiliar memoria'!$H$40:$I$47,2,FALSE),VLOOKUP(O370,'auxiliar memoria'!$P$122:$Q$127,2,FALSE))</f>
        <v>forro em pvc</v>
      </c>
      <c r="C370" s="256"/>
      <c r="D370" s="268" t="s">
        <v>175</v>
      </c>
      <c r="E370" s="259"/>
      <c r="F370" s="258"/>
      <c r="G370" s="259"/>
      <c r="H370" s="270"/>
      <c r="I370" s="259"/>
      <c r="J370" s="259">
        <v>56.4</v>
      </c>
      <c r="K370" s="260"/>
      <c r="L370" s="260"/>
      <c r="M370" s="261"/>
      <c r="N370" s="262" t="s">
        <v>48</v>
      </c>
      <c r="O370" s="263">
        <v>4</v>
      </c>
      <c r="P370" s="247" t="s">
        <v>92</v>
      </c>
      <c r="Q370" s="263"/>
      <c r="R370" s="263"/>
      <c r="S370" s="263"/>
      <c r="T370" s="263"/>
      <c r="U370" s="263"/>
      <c r="V370" s="263"/>
      <c r="X370" s="264" t="str">
        <f t="shared" si="25"/>
        <v/>
      </c>
    </row>
    <row r="371" spans="1:24" s="248" customFormat="1" ht="28.5" customHeight="1">
      <c r="A371" s="266" t="str">
        <f>IF(N371="NA","SEM COBERTA",IF(N371="R","REVISAR",VLOOKUP(N371,'auxiliar memoria'!$H$40:$I$47,2,FALSE)))</f>
        <v>REVISAR</v>
      </c>
      <c r="B371" s="267" t="str">
        <f>IF(N371="R",VLOOKUP(O371,'auxiliar memoria'!$H$40:$I$47,2,FALSE),VLOOKUP(O371,'auxiliar memoria'!$P$122:$Q$127,2,FALSE))</f>
        <v>forro em pvc</v>
      </c>
      <c r="C371" s="256"/>
      <c r="D371" s="268" t="s">
        <v>174</v>
      </c>
      <c r="E371" s="269"/>
      <c r="F371" s="258"/>
      <c r="G371" s="259"/>
      <c r="H371" s="259"/>
      <c r="I371" s="259"/>
      <c r="J371" s="259">
        <v>56.4</v>
      </c>
      <c r="K371" s="260"/>
      <c r="L371" s="260"/>
      <c r="M371" s="261"/>
      <c r="N371" s="262" t="s">
        <v>48</v>
      </c>
      <c r="O371" s="263">
        <v>4</v>
      </c>
      <c r="P371" s="247" t="s">
        <v>92</v>
      </c>
      <c r="Q371" s="263"/>
      <c r="R371" s="263"/>
      <c r="S371" s="263"/>
      <c r="T371" s="263"/>
      <c r="U371" s="263"/>
      <c r="V371" s="263"/>
      <c r="X371" s="264" t="str">
        <f t="shared" si="25"/>
        <v/>
      </c>
    </row>
    <row r="372" spans="1:24" s="248" customFormat="1" ht="28.5" customHeight="1">
      <c r="A372" s="266" t="str">
        <f>IF(N372="NA","SEM COBERTA",IF(N372="R","REVISAR",VLOOKUP(N372,'auxiliar memoria'!$H$40:$I$47,2,FALSE)))</f>
        <v>REVISAR</v>
      </c>
      <c r="B372" s="267" t="str">
        <f>IF(N372="R",VLOOKUP(O372,'auxiliar memoria'!$H$40:$I$47,2,FALSE),VLOOKUP(O372,'auxiliar memoria'!$P$122:$Q$127,2,FALSE))</f>
        <v>forro em pvc</v>
      </c>
      <c r="C372" s="256"/>
      <c r="D372" s="268" t="s">
        <v>121</v>
      </c>
      <c r="E372" s="259"/>
      <c r="F372" s="258"/>
      <c r="G372" s="259"/>
      <c r="H372" s="259"/>
      <c r="I372" s="259"/>
      <c r="J372" s="259">
        <v>55.61</v>
      </c>
      <c r="K372" s="260"/>
      <c r="L372" s="260"/>
      <c r="M372" s="261"/>
      <c r="N372" s="262" t="s">
        <v>48</v>
      </c>
      <c r="O372" s="263">
        <v>4</v>
      </c>
      <c r="P372" s="247" t="s">
        <v>92</v>
      </c>
      <c r="Q372" s="263"/>
      <c r="R372" s="263"/>
      <c r="S372" s="263"/>
      <c r="T372" s="263"/>
      <c r="U372" s="263"/>
      <c r="V372" s="263"/>
      <c r="X372" s="264" t="str">
        <f t="shared" si="25"/>
        <v/>
      </c>
    </row>
    <row r="373" spans="1:24" s="248" customFormat="1" ht="28.5" customHeight="1">
      <c r="A373" s="266" t="str">
        <f>IF(N373="NA","SEM COBERTA",IF(N373="R","REVISAR",VLOOKUP(N373,'auxiliar memoria'!$H$40:$I$47,2,FALSE)))</f>
        <v>REVISAR</v>
      </c>
      <c r="B373" s="267" t="str">
        <f>IF(N373="R",VLOOKUP(O373,'auxiliar memoria'!$H$40:$I$47,2,FALSE),VLOOKUP(O373,'auxiliar memoria'!$P$122:$Q$127,2,FALSE))</f>
        <v>forro em pvc</v>
      </c>
      <c r="C373" s="256"/>
      <c r="D373" s="268" t="s">
        <v>354</v>
      </c>
      <c r="E373" s="259"/>
      <c r="F373" s="258"/>
      <c r="G373" s="259"/>
      <c r="H373" s="259"/>
      <c r="I373" s="259"/>
      <c r="J373" s="259">
        <v>20.66</v>
      </c>
      <c r="K373" s="260"/>
      <c r="L373" s="260"/>
      <c r="M373" s="261"/>
      <c r="N373" s="262" t="s">
        <v>48</v>
      </c>
      <c r="O373" s="263">
        <v>4</v>
      </c>
      <c r="P373" s="247" t="s">
        <v>92</v>
      </c>
      <c r="Q373" s="263"/>
      <c r="R373" s="263"/>
      <c r="S373" s="263"/>
      <c r="T373" s="263"/>
      <c r="U373" s="263"/>
      <c r="V373" s="263"/>
      <c r="X373" s="264" t="str">
        <f t="shared" si="25"/>
        <v/>
      </c>
    </row>
    <row r="374" spans="1:24" s="248" customFormat="1" ht="28.5" customHeight="1">
      <c r="A374" s="266" t="str">
        <f>IF(N374="NA","SEM COBERTA",IF(N374="R","REVISAR",VLOOKUP(N374,'auxiliar memoria'!$H$40:$I$47,2,FALSE)))</f>
        <v>REVISAR</v>
      </c>
      <c r="B374" s="267" t="str">
        <f>IF(N374="R",VLOOKUP(O374,'auxiliar memoria'!$H$40:$I$47,2,FALSE),VLOOKUP(O374,'auxiliar memoria'!$P$122:$Q$127,2,FALSE))</f>
        <v>forro em pvc</v>
      </c>
      <c r="C374" s="256"/>
      <c r="D374" s="268" t="s">
        <v>355</v>
      </c>
      <c r="E374" s="269"/>
      <c r="F374" s="258"/>
      <c r="G374" s="259"/>
      <c r="H374" s="259"/>
      <c r="I374" s="259"/>
      <c r="J374" s="259">
        <v>23.67</v>
      </c>
      <c r="K374" s="260"/>
      <c r="L374" s="260"/>
      <c r="M374" s="261"/>
      <c r="N374" s="262" t="s">
        <v>48</v>
      </c>
      <c r="O374" s="263">
        <v>4</v>
      </c>
      <c r="P374" s="247" t="s">
        <v>92</v>
      </c>
      <c r="Q374" s="263"/>
      <c r="R374" s="263"/>
      <c r="S374" s="263"/>
      <c r="T374" s="263"/>
      <c r="U374" s="263"/>
      <c r="V374" s="263"/>
      <c r="X374" s="264" t="str">
        <f t="shared" si="25"/>
        <v/>
      </c>
    </row>
    <row r="375" spans="1:24" s="248" customFormat="1" ht="28.5" customHeight="1">
      <c r="A375" s="266" t="str">
        <f>IF(N375="NA","SEM COBERTA",IF(N375="R","REVISAR",VLOOKUP(N375,'auxiliar memoria'!$H$40:$I$47,2,FALSE)))</f>
        <v>REVISAR</v>
      </c>
      <c r="B375" s="267" t="str">
        <f>IF(N375="R",VLOOKUP(O375,'auxiliar memoria'!$H$40:$I$47,2,FALSE),VLOOKUP(O375,'auxiliar memoria'!$P$122:$Q$127,2,FALSE))</f>
        <v>forro em pvc</v>
      </c>
      <c r="C375" s="256"/>
      <c r="D375" s="268" t="s">
        <v>356</v>
      </c>
      <c r="E375" s="259"/>
      <c r="F375" s="258"/>
      <c r="G375" s="259"/>
      <c r="H375" s="270"/>
      <c r="I375" s="259"/>
      <c r="J375" s="259">
        <v>19.21</v>
      </c>
      <c r="K375" s="260"/>
      <c r="L375" s="260"/>
      <c r="M375" s="261"/>
      <c r="N375" s="262" t="s">
        <v>48</v>
      </c>
      <c r="O375" s="263">
        <v>4</v>
      </c>
      <c r="P375" s="247" t="s">
        <v>92</v>
      </c>
      <c r="Q375" s="263"/>
      <c r="R375" s="263"/>
      <c r="S375" s="263"/>
      <c r="T375" s="263"/>
      <c r="U375" s="263"/>
      <c r="V375" s="263"/>
      <c r="X375" s="264" t="str">
        <f t="shared" si="25"/>
        <v/>
      </c>
    </row>
    <row r="376" spans="1:24" s="248" customFormat="1" ht="28.5" customHeight="1">
      <c r="A376" s="266" t="str">
        <f>IF(N376="NA","SEM COBERTA",IF(N376="R","REVISAR",VLOOKUP(N376,'auxiliar memoria'!$H$40:$I$47,2,FALSE)))</f>
        <v>REVISAR</v>
      </c>
      <c r="B376" s="267" t="str">
        <f>IF(N376="R",VLOOKUP(O376,'auxiliar memoria'!$H$40:$I$47,2,FALSE),VLOOKUP(O376,'auxiliar memoria'!$P$122:$Q$127,2,FALSE))</f>
        <v>forro em pvc</v>
      </c>
      <c r="C376" s="256"/>
      <c r="D376" s="268" t="s">
        <v>357</v>
      </c>
      <c r="E376" s="269"/>
      <c r="F376" s="258"/>
      <c r="G376" s="259"/>
      <c r="H376" s="259"/>
      <c r="I376" s="259"/>
      <c r="J376" s="259">
        <v>23.62</v>
      </c>
      <c r="K376" s="260"/>
      <c r="L376" s="260"/>
      <c r="M376" s="261"/>
      <c r="N376" s="262" t="s">
        <v>48</v>
      </c>
      <c r="O376" s="263">
        <v>4</v>
      </c>
      <c r="P376" s="247" t="s">
        <v>92</v>
      </c>
      <c r="Q376" s="263"/>
      <c r="R376" s="263"/>
      <c r="S376" s="263"/>
      <c r="T376" s="263"/>
      <c r="U376" s="263"/>
      <c r="V376" s="263"/>
      <c r="X376" s="264" t="str">
        <f t="shared" si="25"/>
        <v/>
      </c>
    </row>
    <row r="377" spans="1:24" s="248" customFormat="1" ht="28.5" customHeight="1">
      <c r="A377" s="266" t="str">
        <f>IF(N377="NA","SEM COBERTA",IF(N377="R","REVISAR",VLOOKUP(N377,'auxiliar memoria'!$H$40:$I$47,2,FALSE)))</f>
        <v>REVISAR</v>
      </c>
      <c r="B377" s="267" t="str">
        <f>IF(N377="R",VLOOKUP(O377,'auxiliar memoria'!$H$40:$I$47,2,FALSE),VLOOKUP(O377,'auxiliar memoria'!$P$122:$Q$127,2,FALSE))</f>
        <v>forro em pvc</v>
      </c>
      <c r="C377" s="256"/>
      <c r="D377" s="268" t="s">
        <v>358</v>
      </c>
      <c r="E377" s="269"/>
      <c r="F377" s="258"/>
      <c r="G377" s="259"/>
      <c r="H377" s="259"/>
      <c r="I377" s="259"/>
      <c r="J377" s="259">
        <v>2.71</v>
      </c>
      <c r="K377" s="260"/>
      <c r="L377" s="260"/>
      <c r="M377" s="261"/>
      <c r="N377" s="262" t="s">
        <v>48</v>
      </c>
      <c r="O377" s="263">
        <v>4</v>
      </c>
      <c r="P377" s="247" t="s">
        <v>92</v>
      </c>
      <c r="Q377" s="263"/>
      <c r="R377" s="263"/>
      <c r="S377" s="263"/>
      <c r="T377" s="263"/>
      <c r="U377" s="263"/>
      <c r="V377" s="263"/>
      <c r="X377" s="264" t="str">
        <f t="shared" si="25"/>
        <v/>
      </c>
    </row>
    <row r="378" spans="1:24" s="248" customFormat="1" ht="28.5" customHeight="1">
      <c r="A378" s="266" t="str">
        <f>IF(N378="NA","SEM COBERTA",IF(N378="R","REVISAR",VLOOKUP(N378,'auxiliar memoria'!$H$40:$I$47,2,FALSE)))</f>
        <v>REVISAR</v>
      </c>
      <c r="B378" s="267" t="str">
        <f>IF(N378="R",VLOOKUP(O378,'auxiliar memoria'!$H$40:$I$47,2,FALSE),VLOOKUP(O378,'auxiliar memoria'!$P$122:$Q$127,2,FALSE))</f>
        <v>forro em pvc</v>
      </c>
      <c r="C378" s="256"/>
      <c r="D378" s="268" t="s">
        <v>359</v>
      </c>
      <c r="E378" s="269"/>
      <c r="F378" s="258"/>
      <c r="G378" s="259"/>
      <c r="H378" s="259"/>
      <c r="I378" s="259"/>
      <c r="J378" s="259">
        <v>2.81</v>
      </c>
      <c r="K378" s="260"/>
      <c r="L378" s="260"/>
      <c r="M378" s="261"/>
      <c r="N378" s="262" t="s">
        <v>48</v>
      </c>
      <c r="O378" s="263">
        <v>4</v>
      </c>
      <c r="P378" s="247" t="s">
        <v>92</v>
      </c>
      <c r="Q378" s="263"/>
      <c r="R378" s="263"/>
      <c r="S378" s="263"/>
      <c r="T378" s="263"/>
      <c r="U378" s="263"/>
      <c r="V378" s="263"/>
      <c r="X378" s="264" t="str">
        <f>IF(C378="sinapi","ok",IF(C378="orse","ok",IF(P378="título","título",IF(P378="intertítulo","intertítulo",""))))</f>
        <v/>
      </c>
    </row>
    <row r="379" spans="1:24" s="248" customFormat="1" ht="28.5" customHeight="1">
      <c r="A379" s="266" t="str">
        <f>IF(N379="NA","SEM COBERTA",IF(N379="R","REVISAR",VLOOKUP(N379,'auxiliar memoria'!$H$40:$I$47,2,FALSE)))</f>
        <v>REVISAR</v>
      </c>
      <c r="B379" s="267" t="str">
        <f>IF(N379="R",VLOOKUP(O379,'auxiliar memoria'!$H$40:$I$47,2,FALSE),VLOOKUP(O379,'auxiliar memoria'!$P$122:$Q$127,2,FALSE))</f>
        <v>forro em pvc</v>
      </c>
      <c r="C379" s="256"/>
      <c r="D379" s="268" t="s">
        <v>360</v>
      </c>
      <c r="E379" s="259"/>
      <c r="F379" s="258"/>
      <c r="G379" s="259"/>
      <c r="H379" s="270"/>
      <c r="I379" s="259"/>
      <c r="J379" s="259">
        <v>19.05</v>
      </c>
      <c r="K379" s="260"/>
      <c r="L379" s="260"/>
      <c r="M379" s="261"/>
      <c r="N379" s="262" t="s">
        <v>48</v>
      </c>
      <c r="O379" s="263">
        <v>4</v>
      </c>
      <c r="P379" s="247" t="s">
        <v>92</v>
      </c>
      <c r="Q379" s="263"/>
      <c r="R379" s="263"/>
      <c r="S379" s="263"/>
      <c r="T379" s="263"/>
      <c r="U379" s="263"/>
      <c r="V379" s="263"/>
      <c r="X379" s="264" t="str">
        <f>IF(C379="sinapi","ok",IF(C379="orse","ok",IF(P379="título","título",IF(P379="intertítulo","intertítulo",""))))</f>
        <v/>
      </c>
    </row>
    <row r="380" spans="1:24" s="248" customFormat="1" ht="28.5" customHeight="1">
      <c r="A380" s="266" t="str">
        <f>IF(N380="NA","SEM COBERTA",IF(N380="R","REVISAR",VLOOKUP(N380,'auxiliar memoria'!$H$40:$I$47,2,FALSE)))</f>
        <v>REVISAR</v>
      </c>
      <c r="B380" s="267" t="str">
        <f>IF(N380="R",VLOOKUP(O380,'auxiliar memoria'!$H$40:$I$47,2,FALSE),VLOOKUP(O380,'auxiliar memoria'!$P$122:$Q$127,2,FALSE))</f>
        <v>forro em pvc</v>
      </c>
      <c r="C380" s="256"/>
      <c r="D380" s="268" t="s">
        <v>365</v>
      </c>
      <c r="E380" s="259"/>
      <c r="F380" s="258"/>
      <c r="G380" s="259"/>
      <c r="H380" s="271"/>
      <c r="I380" s="259"/>
      <c r="J380" s="259">
        <v>243.65</v>
      </c>
      <c r="K380" s="260"/>
      <c r="L380" s="260"/>
      <c r="M380" s="261"/>
      <c r="N380" s="262" t="s">
        <v>48</v>
      </c>
      <c r="O380" s="263">
        <v>4</v>
      </c>
      <c r="P380" s="247" t="s">
        <v>92</v>
      </c>
      <c r="Q380" s="263"/>
      <c r="R380" s="263"/>
      <c r="S380" s="263"/>
      <c r="T380" s="263"/>
      <c r="U380" s="263"/>
      <c r="V380" s="263"/>
      <c r="X380" s="264" t="str">
        <f>IF(C380="sinapi","ok",IF(C380="orse","ok",IF(P380="título","título",IF(P380="intertítulo","intertítulo",""))))</f>
        <v/>
      </c>
    </row>
    <row r="381" spans="1:24" s="248" customFormat="1" ht="28.5" customHeight="1">
      <c r="A381" s="266" t="str">
        <f>IF(N381="NA","SEM COBERTA",IF(N381="R","REVISAR",VLOOKUP(N381,'auxiliar memoria'!$H$40:$I$47,2,FALSE)))</f>
        <v>REVISAR</v>
      </c>
      <c r="B381" s="267" t="str">
        <f>IF(N381="R",VLOOKUP(O381,'auxiliar memoria'!$H$40:$I$47,2,FALSE),VLOOKUP(O381,'auxiliar memoria'!$P$122:$Q$127,2,FALSE))</f>
        <v>forro em pvc</v>
      </c>
      <c r="C381" s="256"/>
      <c r="D381" s="268" t="s">
        <v>361</v>
      </c>
      <c r="E381" s="257"/>
      <c r="F381" s="258"/>
      <c r="G381" s="259"/>
      <c r="H381" s="259"/>
      <c r="I381" s="259"/>
      <c r="J381" s="259">
        <v>38.479999999999997</v>
      </c>
      <c r="K381" s="260"/>
      <c r="L381" s="260"/>
      <c r="M381" s="261"/>
      <c r="N381" s="262" t="s">
        <v>48</v>
      </c>
      <c r="O381" s="263">
        <v>4</v>
      </c>
      <c r="P381" s="247"/>
      <c r="Q381" s="263"/>
      <c r="R381" s="263"/>
      <c r="S381" s="263"/>
      <c r="T381" s="263"/>
      <c r="U381" s="263"/>
      <c r="V381" s="263"/>
      <c r="X381" s="264"/>
    </row>
    <row r="382" spans="1:24" s="248" customFormat="1" ht="28.5" customHeight="1">
      <c r="A382" s="266" t="str">
        <f>IF(N382="NA","SEM COBERTA",IF(N382="R","REVISAR",VLOOKUP(N382,'auxiliar memoria'!$H$40:$I$47,2,FALSE)))</f>
        <v>REVISAR</v>
      </c>
      <c r="B382" s="267" t="str">
        <f>IF(N382="R",VLOOKUP(O382,'auxiliar memoria'!$H$40:$I$47,2,FALSE),VLOOKUP(O382,'auxiliar memoria'!$P$122:$Q$127,2,FALSE))</f>
        <v>forro em pvc</v>
      </c>
      <c r="C382" s="256"/>
      <c r="D382" s="268" t="s">
        <v>353</v>
      </c>
      <c r="E382" s="257"/>
      <c r="F382" s="258"/>
      <c r="G382" s="259"/>
      <c r="H382" s="259"/>
      <c r="I382" s="259"/>
      <c r="J382" s="259">
        <v>37.01</v>
      </c>
      <c r="K382" s="260"/>
      <c r="L382" s="260"/>
      <c r="M382" s="261"/>
      <c r="N382" s="262" t="s">
        <v>48</v>
      </c>
      <c r="O382" s="263">
        <v>4</v>
      </c>
      <c r="P382" s="247"/>
      <c r="Q382" s="263"/>
      <c r="R382" s="263"/>
      <c r="S382" s="263"/>
      <c r="T382" s="263"/>
      <c r="U382" s="263"/>
      <c r="V382" s="263"/>
      <c r="X382" s="264"/>
    </row>
    <row r="383" spans="1:24" s="248" customFormat="1" ht="28.5" customHeight="1">
      <c r="A383" s="266" t="str">
        <f>IF(N383="NA","SEM COBERTA",IF(N383="R","REVISAR",VLOOKUP(N383,'auxiliar memoria'!$H$40:$I$47,2,FALSE)))</f>
        <v>REVISAR</v>
      </c>
      <c r="B383" s="267" t="str">
        <f>IF(N383="R",VLOOKUP(O383,'auxiliar memoria'!$H$40:$I$47,2,FALSE),VLOOKUP(O383,'auxiliar memoria'!$P$122:$Q$127,2,FALSE))</f>
        <v>forro em pvc</v>
      </c>
      <c r="C383" s="256"/>
      <c r="D383" s="268" t="s">
        <v>179</v>
      </c>
      <c r="E383" s="257"/>
      <c r="F383" s="258"/>
      <c r="G383" s="259"/>
      <c r="H383" s="259"/>
      <c r="I383" s="259"/>
      <c r="J383" s="259">
        <v>19.25</v>
      </c>
      <c r="K383" s="260"/>
      <c r="L383" s="260"/>
      <c r="M383" s="261"/>
      <c r="N383" s="262" t="s">
        <v>48</v>
      </c>
      <c r="O383" s="263">
        <v>4</v>
      </c>
      <c r="P383" s="247"/>
      <c r="Q383" s="263"/>
      <c r="R383" s="263"/>
      <c r="S383" s="263"/>
      <c r="T383" s="263"/>
      <c r="U383" s="263"/>
      <c r="V383" s="263"/>
      <c r="X383" s="264"/>
    </row>
    <row r="384" spans="1:24" s="248" customFormat="1" ht="28.5" customHeight="1">
      <c r="A384" s="266" t="str">
        <f>IF(N384="NA","SEM COBERTA",IF(N384="R","REVISAR",VLOOKUP(N384,'auxiliar memoria'!$H$40:$I$47,2,FALSE)))</f>
        <v>forro em pvc</v>
      </c>
      <c r="B384" s="267" t="str">
        <f>IF(N384="R",VLOOKUP(O384,'auxiliar memoria'!$H$40:$I$47,2,FALSE),VLOOKUP(O384,'auxiliar memoria'!$P$122:$Q$127,2,FALSE))</f>
        <v>Forro pvc branco</v>
      </c>
      <c r="C384" s="256"/>
      <c r="D384" s="268" t="s">
        <v>362</v>
      </c>
      <c r="E384" s="269"/>
      <c r="F384" s="258"/>
      <c r="G384" s="259"/>
      <c r="H384" s="259"/>
      <c r="I384" s="259"/>
      <c r="J384" s="259">
        <v>7.93</v>
      </c>
      <c r="K384" s="260"/>
      <c r="L384" s="260"/>
      <c r="M384" s="261"/>
      <c r="N384" s="262">
        <v>4</v>
      </c>
      <c r="O384" s="263">
        <v>4</v>
      </c>
      <c r="P384" s="247"/>
      <c r="Q384" s="263"/>
      <c r="R384" s="263"/>
      <c r="S384" s="263"/>
      <c r="T384" s="263"/>
      <c r="U384" s="263"/>
      <c r="V384" s="263"/>
      <c r="X384" s="264"/>
    </row>
    <row r="385" spans="1:24" s="248" customFormat="1" ht="28.5" customHeight="1">
      <c r="A385" s="266" t="str">
        <f>IF(N385="NA","SEM COBERTA",IF(N385="R","REVISAR",VLOOKUP(N385,'auxiliar memoria'!$H$40:$I$47,2,FALSE)))</f>
        <v>forro em pvc</v>
      </c>
      <c r="B385" s="267" t="str">
        <f>IF(N385="R",VLOOKUP(O385,'auxiliar memoria'!$H$40:$I$47,2,FALSE),VLOOKUP(O385,'auxiliar memoria'!$P$122:$Q$127,2,FALSE))</f>
        <v>Forro pvc branco</v>
      </c>
      <c r="C385" s="256"/>
      <c r="D385" s="268" t="s">
        <v>363</v>
      </c>
      <c r="E385" s="269"/>
      <c r="F385" s="258"/>
      <c r="G385" s="259"/>
      <c r="H385" s="259"/>
      <c r="I385" s="259"/>
      <c r="J385" s="259">
        <v>4.1100000000000003</v>
      </c>
      <c r="K385" s="260"/>
      <c r="L385" s="260"/>
      <c r="M385" s="261"/>
      <c r="N385" s="262">
        <v>4</v>
      </c>
      <c r="O385" s="263">
        <v>4</v>
      </c>
      <c r="P385" s="247"/>
      <c r="Q385" s="263"/>
      <c r="R385" s="263"/>
      <c r="S385" s="263"/>
      <c r="T385" s="263"/>
      <c r="U385" s="263"/>
      <c r="V385" s="263"/>
      <c r="X385" s="264"/>
    </row>
    <row r="386" spans="1:24" s="248" customFormat="1" ht="28.5" customHeight="1">
      <c r="A386" s="266" t="str">
        <f>IF(N386="NA","SEM COBERTA",IF(N386="R","REVISAR",VLOOKUP(N386,'auxiliar memoria'!$H$40:$I$47,2,FALSE)))</f>
        <v>forro em pvc</v>
      </c>
      <c r="B386" s="267" t="str">
        <f>IF(N386="R",VLOOKUP(O386,'auxiliar memoria'!$H$40:$I$47,2,FALSE),VLOOKUP(O386,'auxiliar memoria'!$P$122:$Q$127,2,FALSE))</f>
        <v>Forro pvc branco</v>
      </c>
      <c r="C386" s="256"/>
      <c r="D386" s="268" t="s">
        <v>364</v>
      </c>
      <c r="E386" s="269"/>
      <c r="F386" s="258"/>
      <c r="G386" s="259"/>
      <c r="H386" s="259"/>
      <c r="I386" s="259"/>
      <c r="J386" s="259">
        <v>4.76</v>
      </c>
      <c r="K386" s="260"/>
      <c r="L386" s="260"/>
      <c r="M386" s="261"/>
      <c r="N386" s="262">
        <v>4</v>
      </c>
      <c r="O386" s="263">
        <v>4</v>
      </c>
      <c r="P386" s="247"/>
      <c r="Q386" s="263"/>
      <c r="R386" s="263"/>
      <c r="S386" s="263"/>
      <c r="T386" s="263"/>
      <c r="U386" s="263"/>
      <c r="V386" s="263"/>
      <c r="X386" s="264"/>
    </row>
    <row r="387" spans="1:24" s="248" customFormat="1" ht="28.5" customHeight="1">
      <c r="A387" s="266" t="str">
        <f>IF(N387="NA","SEM COBERTA",IF(N387="R","REVISAR",VLOOKUP(N387,'auxiliar memoria'!$H$40:$I$47,2,FALSE)))</f>
        <v>SEM COBERTA</v>
      </c>
      <c r="B387" s="267" t="str">
        <f>IF(N387="R",VLOOKUP(O387,'auxiliar memoria'!$H$40:$I$47,2,FALSE),VLOOKUP(O387,'auxiliar memoria'!$P$122:$Q$127,2,FALSE))</f>
        <v>Sem forro / Sem laje</v>
      </c>
      <c r="C387" s="256"/>
      <c r="D387" s="268" t="s">
        <v>366</v>
      </c>
      <c r="E387" s="259"/>
      <c r="F387" s="258"/>
      <c r="G387" s="259"/>
      <c r="H387" s="270"/>
      <c r="I387" s="259"/>
      <c r="J387" s="259">
        <v>98.28</v>
      </c>
      <c r="K387" s="260"/>
      <c r="L387" s="260"/>
      <c r="M387" s="261"/>
      <c r="N387" s="262" t="s">
        <v>46</v>
      </c>
      <c r="O387" s="263">
        <v>3</v>
      </c>
      <c r="P387" s="247"/>
      <c r="Q387" s="263"/>
      <c r="R387" s="263"/>
      <c r="S387" s="263"/>
      <c r="T387" s="263"/>
      <c r="U387" s="263"/>
      <c r="V387" s="263"/>
      <c r="X387" s="264"/>
    </row>
    <row r="388" spans="1:24" s="248" customFormat="1" ht="28.5" customHeight="1">
      <c r="A388" s="266" t="str">
        <f>IF(N388="NA","SEM COBERTA",IF(N388="R","REVISAR",VLOOKUP(N388,'auxiliar memoria'!$H$40:$I$47,2,FALSE)))</f>
        <v>SEM COBERTA</v>
      </c>
      <c r="B388" s="267" t="str">
        <f>IF(N388="R",VLOOKUP(O388,'auxiliar memoria'!$H$40:$I$47,2,FALSE),VLOOKUP(O388,'auxiliar memoria'!$P$122:$Q$127,2,FALSE))</f>
        <v>Sem forro / Sem laje</v>
      </c>
      <c r="C388" s="256"/>
      <c r="D388" s="268" t="s">
        <v>367</v>
      </c>
      <c r="E388" s="259"/>
      <c r="F388" s="258"/>
      <c r="G388" s="259"/>
      <c r="H388" s="270"/>
      <c r="I388" s="259"/>
      <c r="J388" s="259">
        <v>172.17</v>
      </c>
      <c r="K388" s="260"/>
      <c r="L388" s="260"/>
      <c r="M388" s="261"/>
      <c r="N388" s="262" t="s">
        <v>46</v>
      </c>
      <c r="O388" s="263">
        <v>3</v>
      </c>
      <c r="P388" s="247"/>
      <c r="Q388" s="263"/>
      <c r="R388" s="263"/>
      <c r="S388" s="263"/>
      <c r="T388" s="263"/>
      <c r="U388" s="263"/>
      <c r="V388" s="263"/>
      <c r="X388" s="264"/>
    </row>
    <row r="391" spans="1:24" ht="23.25">
      <c r="D391" s="348" t="s">
        <v>426</v>
      </c>
    </row>
    <row r="392" spans="1:24" s="248" customFormat="1" ht="28.5" customHeight="1">
      <c r="A392" s="266" t="str">
        <f>IF(N392="NA","SEM COBERTA",IF(N392="R","REVISAR",VLOOKUP(N392,'auxiliar memoria'!$H$40:$I$47,2,FALSE)))</f>
        <v>REVISAR</v>
      </c>
      <c r="B392" s="267" t="str">
        <f>IF(N392="R",VLOOKUP(O392,'auxiliar memoria'!$H$40:$I$47,2,FALSE),VLOOKUP(O392,'auxiliar memoria'!$P$122:$Q$127,2,FALSE))</f>
        <v>forro em pvc</v>
      </c>
      <c r="C392" s="256"/>
      <c r="D392" s="268" t="s">
        <v>109</v>
      </c>
      <c r="E392" s="257"/>
      <c r="F392" s="258"/>
      <c r="G392" s="259"/>
      <c r="H392" s="259"/>
      <c r="I392" s="259"/>
      <c r="J392" s="259">
        <v>56.35</v>
      </c>
      <c r="K392" s="260"/>
      <c r="L392" s="260"/>
      <c r="M392" s="261"/>
      <c r="N392" s="262" t="s">
        <v>48</v>
      </c>
      <c r="O392" s="263">
        <v>4</v>
      </c>
      <c r="P392" s="247" t="s">
        <v>92</v>
      </c>
      <c r="Q392" s="263"/>
      <c r="R392" s="263"/>
      <c r="S392" s="263"/>
      <c r="T392" s="263"/>
      <c r="U392" s="263"/>
      <c r="V392" s="263"/>
      <c r="X392" s="264" t="str">
        <f>IF(C392="sinapi","ok",IF(C392="orse","ok",IF(P392="título","título",IF(P392="intertítulo","intertítulo",""))))</f>
        <v/>
      </c>
    </row>
    <row r="393" spans="1:24" s="248" customFormat="1" ht="23.25">
      <c r="A393" s="266" t="str">
        <f>IF(N393="NA","SEM COBERTA",IF(N393="R","REVISAR",VLOOKUP(N393,'auxiliar memoria'!$H$40:$I$47,2,FALSE)))</f>
        <v>REVISAR</v>
      </c>
      <c r="B393" s="267" t="str">
        <f>IF(N393="R",VLOOKUP(O393,'auxiliar memoria'!$H$40:$I$47,2,FALSE),VLOOKUP(O393,'auxiliar memoria'!$P$122:$Q$127,2,FALSE))</f>
        <v>forro em pvc</v>
      </c>
      <c r="C393" s="256"/>
      <c r="D393" s="268" t="s">
        <v>110</v>
      </c>
      <c r="E393" s="257"/>
      <c r="F393" s="258"/>
      <c r="G393" s="259"/>
      <c r="H393" s="259"/>
      <c r="I393" s="259"/>
      <c r="J393" s="259">
        <v>55.75</v>
      </c>
      <c r="K393" s="260"/>
      <c r="L393" s="260"/>
      <c r="M393" s="261"/>
      <c r="N393" s="262" t="s">
        <v>48</v>
      </c>
      <c r="O393" s="263">
        <v>4</v>
      </c>
      <c r="P393" s="247" t="s">
        <v>92</v>
      </c>
      <c r="Q393" s="263"/>
      <c r="R393" s="263"/>
      <c r="S393" s="263"/>
      <c r="T393" s="263"/>
      <c r="U393" s="263"/>
      <c r="V393" s="263"/>
      <c r="X393" s="264" t="str">
        <f>IF(C393="sinapi","ok",IF(C393="orse","ok",IF(P393="título","título",IF(P393="intertítulo","intertítulo",""))))</f>
        <v/>
      </c>
    </row>
    <row r="394" spans="1:24" s="248" customFormat="1" ht="28.5" customHeight="1">
      <c r="A394" s="266" t="str">
        <f>IF(N394="NA","SEM COBERTA",IF(N394="R","REVISAR",VLOOKUP(N394,'auxiliar memoria'!$H$40:$I$47,2,FALSE)))</f>
        <v>REVISAR</v>
      </c>
      <c r="B394" s="267" t="str">
        <f>IF(N394="R",VLOOKUP(O394,'auxiliar memoria'!$H$40:$I$47,2,FALSE),VLOOKUP(O394,'auxiliar memoria'!$P$122:$Q$127,2,FALSE))</f>
        <v>forro em pvc</v>
      </c>
      <c r="C394" s="256"/>
      <c r="D394" s="268" t="s">
        <v>111</v>
      </c>
      <c r="E394" s="257"/>
      <c r="F394" s="258"/>
      <c r="G394" s="259"/>
      <c r="H394" s="259"/>
      <c r="I394" s="259"/>
      <c r="J394" s="259">
        <v>56.53</v>
      </c>
      <c r="K394" s="260"/>
      <c r="L394" s="260"/>
      <c r="M394" s="261"/>
      <c r="N394" s="262" t="s">
        <v>48</v>
      </c>
      <c r="O394" s="263">
        <v>4</v>
      </c>
      <c r="P394" s="247" t="s">
        <v>92</v>
      </c>
      <c r="Q394" s="263"/>
      <c r="R394" s="263"/>
      <c r="S394" s="263"/>
      <c r="T394" s="263"/>
      <c r="U394" s="263"/>
      <c r="V394" s="263"/>
      <c r="X394" s="264" t="str">
        <f>IF(C394="sinapi","ok",IF(C394="orse","ok",IF(P394="título","título",IF(P394="intertítulo","intertítulo",""))))</f>
        <v/>
      </c>
    </row>
    <row r="395" spans="1:24" s="248" customFormat="1" ht="28.5" customHeight="1">
      <c r="A395" s="266" t="str">
        <f>IF(N395="NA","SEM COBERTA",IF(N395="R","REVISAR",VLOOKUP(N395,'auxiliar memoria'!$H$40:$I$47,2,FALSE)))</f>
        <v>REVISAR</v>
      </c>
      <c r="B395" s="267" t="str">
        <f>IF(N395="R",VLOOKUP(O395,'auxiliar memoria'!$H$40:$I$47,2,FALSE),VLOOKUP(O395,'auxiliar memoria'!$P$122:$Q$127,2,FALSE))</f>
        <v>forro em pvc</v>
      </c>
      <c r="C395" s="256"/>
      <c r="D395" s="268" t="s">
        <v>112</v>
      </c>
      <c r="E395" s="257"/>
      <c r="F395" s="258"/>
      <c r="G395" s="259"/>
      <c r="H395" s="259"/>
      <c r="I395" s="259"/>
      <c r="J395" s="259">
        <v>56.14</v>
      </c>
      <c r="K395" s="260"/>
      <c r="L395" s="260"/>
      <c r="M395" s="261"/>
      <c r="N395" s="262" t="s">
        <v>48</v>
      </c>
      <c r="O395" s="263">
        <v>4</v>
      </c>
      <c r="P395" s="247" t="s">
        <v>92</v>
      </c>
      <c r="Q395" s="263"/>
      <c r="R395" s="263"/>
      <c r="S395" s="263"/>
      <c r="T395" s="263"/>
      <c r="U395" s="263"/>
      <c r="V395" s="263"/>
      <c r="X395" s="264" t="str">
        <f>IF(C395="sinapi","ok",IF(C395="orse","ok",IF(P395="título","título",IF(P395="intertítulo","intertítulo",""))))</f>
        <v/>
      </c>
    </row>
    <row r="396" spans="1:24" s="248" customFormat="1" ht="28.5" customHeight="1">
      <c r="A396" s="266" t="str">
        <f>IF(N396="NA","SEM COBERTA",IF(N396="R","REVISAR",VLOOKUP(N396,'auxiliar memoria'!$H$40:$I$47,2,FALSE)))</f>
        <v>REVISAR</v>
      </c>
      <c r="B396" s="267" t="str">
        <f>IF(N396="R",VLOOKUP(O396,'auxiliar memoria'!$H$40:$I$47,2,FALSE),VLOOKUP(O396,'auxiliar memoria'!$P$122:$Q$127,2,FALSE))</f>
        <v>forro em pvc</v>
      </c>
      <c r="C396" s="256"/>
      <c r="D396" s="268" t="s">
        <v>113</v>
      </c>
      <c r="E396" s="257"/>
      <c r="F396" s="258"/>
      <c r="G396" s="259"/>
      <c r="H396" s="259"/>
      <c r="I396" s="259"/>
      <c r="J396" s="259">
        <v>53.34</v>
      </c>
      <c r="K396" s="260"/>
      <c r="L396" s="260"/>
      <c r="M396" s="261"/>
      <c r="N396" s="262" t="s">
        <v>48</v>
      </c>
      <c r="O396" s="263">
        <v>4</v>
      </c>
      <c r="P396" s="247" t="s">
        <v>92</v>
      </c>
      <c r="Q396" s="263"/>
      <c r="R396" s="263"/>
      <c r="S396" s="263"/>
      <c r="T396" s="263"/>
      <c r="U396" s="263"/>
      <c r="V396" s="263"/>
      <c r="X396" s="264" t="str">
        <f t="shared" ref="X396:X408" si="26">IF(C396="sinapi","ok",IF(C396="orse","ok",IF(P396="título","título",IF(P396="intertítulo","intertítulo",""))))</f>
        <v/>
      </c>
    </row>
    <row r="397" spans="1:24" s="248" customFormat="1" ht="28.5" customHeight="1">
      <c r="A397" s="266" t="str">
        <f>IF(N397="NA","SEM COBERTA",IF(N397="R","REVISAR",VLOOKUP(N397,'auxiliar memoria'!$H$40:$I$47,2,FALSE)))</f>
        <v>REVISAR</v>
      </c>
      <c r="B397" s="267" t="str">
        <f>IF(N397="R",VLOOKUP(O397,'auxiliar memoria'!$H$40:$I$47,2,FALSE),VLOOKUP(O397,'auxiliar memoria'!$P$122:$Q$127,2,FALSE))</f>
        <v>forro em pvc</v>
      </c>
      <c r="C397" s="256"/>
      <c r="D397" s="268" t="s">
        <v>114</v>
      </c>
      <c r="E397" s="257"/>
      <c r="F397" s="258"/>
      <c r="G397" s="259"/>
      <c r="H397" s="259"/>
      <c r="I397" s="259"/>
      <c r="J397" s="259">
        <v>56.04</v>
      </c>
      <c r="K397" s="260"/>
      <c r="L397" s="260"/>
      <c r="M397" s="261"/>
      <c r="N397" s="262" t="s">
        <v>48</v>
      </c>
      <c r="O397" s="263">
        <v>4</v>
      </c>
      <c r="P397" s="247" t="s">
        <v>92</v>
      </c>
      <c r="Q397" s="263"/>
      <c r="R397" s="263"/>
      <c r="S397" s="263"/>
      <c r="T397" s="263"/>
      <c r="U397" s="263"/>
      <c r="V397" s="263"/>
      <c r="X397" s="264" t="str">
        <f t="shared" si="26"/>
        <v/>
      </c>
    </row>
    <row r="398" spans="1:24" s="248" customFormat="1" ht="28.5" customHeight="1">
      <c r="A398" s="266" t="str">
        <f>IF(N398="NA","SEM COBERTA",IF(N398="R","REVISAR",VLOOKUP(N398,'auxiliar memoria'!$H$40:$I$47,2,FALSE)))</f>
        <v>REVISAR</v>
      </c>
      <c r="B398" s="267" t="str">
        <f>IF(N398="R",VLOOKUP(O398,'auxiliar memoria'!$H$40:$I$47,2,FALSE),VLOOKUP(O398,'auxiliar memoria'!$P$122:$Q$127,2,FALSE))</f>
        <v>forro em pvc</v>
      </c>
      <c r="C398" s="256"/>
      <c r="D398" s="268" t="s">
        <v>115</v>
      </c>
      <c r="E398" s="269"/>
      <c r="F398" s="258"/>
      <c r="G398" s="259"/>
      <c r="H398" s="259"/>
      <c r="I398" s="259"/>
      <c r="J398" s="259">
        <v>56.31</v>
      </c>
      <c r="K398" s="260"/>
      <c r="L398" s="260"/>
      <c r="M398" s="261"/>
      <c r="N398" s="262" t="s">
        <v>48</v>
      </c>
      <c r="O398" s="263">
        <v>4</v>
      </c>
      <c r="P398" s="247" t="s">
        <v>92</v>
      </c>
      <c r="Q398" s="263"/>
      <c r="R398" s="263"/>
      <c r="S398" s="263"/>
      <c r="T398" s="263"/>
      <c r="U398" s="263"/>
      <c r="V398" s="263"/>
      <c r="X398" s="264" t="str">
        <f t="shared" si="26"/>
        <v/>
      </c>
    </row>
    <row r="399" spans="1:24" s="248" customFormat="1" ht="28.5" customHeight="1">
      <c r="A399" s="266" t="str">
        <f>IF(N399="NA","SEM COBERTA",IF(N399="R","REVISAR",VLOOKUP(N399,'auxiliar memoria'!$H$40:$I$47,2,FALSE)))</f>
        <v>REVISAR</v>
      </c>
      <c r="B399" s="267" t="str">
        <f>IF(N399="R",VLOOKUP(O399,'auxiliar memoria'!$H$40:$I$47,2,FALSE),VLOOKUP(O399,'auxiliar memoria'!$P$122:$Q$127,2,FALSE))</f>
        <v>forro em pvc</v>
      </c>
      <c r="C399" s="256"/>
      <c r="D399" s="268" t="s">
        <v>116</v>
      </c>
      <c r="E399" s="269"/>
      <c r="F399" s="258"/>
      <c r="G399" s="259"/>
      <c r="H399" s="259"/>
      <c r="I399" s="259"/>
      <c r="J399" s="259">
        <v>56.49</v>
      </c>
      <c r="K399" s="260"/>
      <c r="L399" s="260"/>
      <c r="M399" s="261"/>
      <c r="N399" s="262" t="s">
        <v>48</v>
      </c>
      <c r="O399" s="263">
        <v>4</v>
      </c>
      <c r="P399" s="247" t="s">
        <v>92</v>
      </c>
      <c r="Q399" s="263"/>
      <c r="R399" s="263"/>
      <c r="S399" s="263"/>
      <c r="T399" s="263"/>
      <c r="U399" s="263"/>
      <c r="V399" s="263"/>
      <c r="X399" s="264" t="str">
        <f t="shared" si="26"/>
        <v/>
      </c>
    </row>
    <row r="400" spans="1:24" s="248" customFormat="1" ht="28.5" customHeight="1">
      <c r="A400" s="266" t="str">
        <f>IF(N400="NA","SEM COBERTA",IF(N400="R","REVISAR",VLOOKUP(N400,'auxiliar memoria'!$H$40:$I$47,2,FALSE)))</f>
        <v>REVISAR</v>
      </c>
      <c r="B400" s="267" t="str">
        <f>IF(N400="R",VLOOKUP(O400,'auxiliar memoria'!$H$40:$I$47,2,FALSE),VLOOKUP(O400,'auxiliar memoria'!$P$122:$Q$127,2,FALSE))</f>
        <v>forro em pvc</v>
      </c>
      <c r="C400" s="256"/>
      <c r="D400" s="268" t="s">
        <v>176</v>
      </c>
      <c r="E400" s="259"/>
      <c r="F400" s="258"/>
      <c r="G400" s="259"/>
      <c r="H400" s="270"/>
      <c r="I400" s="259"/>
      <c r="J400" s="259">
        <v>57.03</v>
      </c>
      <c r="K400" s="260"/>
      <c r="L400" s="260"/>
      <c r="M400" s="261"/>
      <c r="N400" s="262" t="s">
        <v>48</v>
      </c>
      <c r="O400" s="263">
        <v>4</v>
      </c>
      <c r="P400" s="247" t="s">
        <v>92</v>
      </c>
      <c r="Q400" s="263"/>
      <c r="R400" s="263"/>
      <c r="S400" s="263"/>
      <c r="T400" s="263"/>
      <c r="U400" s="263"/>
      <c r="V400" s="263"/>
      <c r="X400" s="264" t="str">
        <f t="shared" si="26"/>
        <v/>
      </c>
    </row>
    <row r="401" spans="1:24" s="248" customFormat="1" ht="28.5" customHeight="1">
      <c r="A401" s="266" t="str">
        <f>IF(N401="NA","SEM COBERTA",IF(N401="R","REVISAR",VLOOKUP(N401,'auxiliar memoria'!$H$40:$I$47,2,FALSE)))</f>
        <v>REVISAR</v>
      </c>
      <c r="B401" s="267" t="str">
        <f>IF(N401="R",VLOOKUP(O401,'auxiliar memoria'!$H$40:$I$47,2,FALSE),VLOOKUP(O401,'auxiliar memoria'!$P$122:$Q$127,2,FALSE))</f>
        <v>forro em pvc</v>
      </c>
      <c r="C401" s="256"/>
      <c r="D401" s="268" t="s">
        <v>175</v>
      </c>
      <c r="E401" s="259"/>
      <c r="F401" s="258"/>
      <c r="G401" s="259"/>
      <c r="H401" s="270"/>
      <c r="I401" s="259"/>
      <c r="J401" s="259">
        <v>56.4</v>
      </c>
      <c r="K401" s="260"/>
      <c r="L401" s="260"/>
      <c r="M401" s="261"/>
      <c r="N401" s="262" t="s">
        <v>48</v>
      </c>
      <c r="O401" s="263">
        <v>4</v>
      </c>
      <c r="P401" s="247" t="s">
        <v>92</v>
      </c>
      <c r="Q401" s="263"/>
      <c r="R401" s="263"/>
      <c r="S401" s="263"/>
      <c r="T401" s="263"/>
      <c r="U401" s="263"/>
      <c r="V401" s="263"/>
      <c r="X401" s="264" t="str">
        <f t="shared" si="26"/>
        <v/>
      </c>
    </row>
    <row r="402" spans="1:24" s="248" customFormat="1" ht="28.5" customHeight="1">
      <c r="A402" s="266" t="str">
        <f>IF(N402="NA","SEM COBERTA",IF(N402="R","REVISAR",VLOOKUP(N402,'auxiliar memoria'!$H$40:$I$47,2,FALSE)))</f>
        <v>REVISAR</v>
      </c>
      <c r="B402" s="267" t="str">
        <f>IF(N402="R",VLOOKUP(O402,'auxiliar memoria'!$H$40:$I$47,2,FALSE),VLOOKUP(O402,'auxiliar memoria'!$P$122:$Q$127,2,FALSE))</f>
        <v>forro em pvc</v>
      </c>
      <c r="C402" s="256"/>
      <c r="D402" s="268" t="s">
        <v>174</v>
      </c>
      <c r="E402" s="269"/>
      <c r="F402" s="258"/>
      <c r="G402" s="259"/>
      <c r="H402" s="259"/>
      <c r="I402" s="259"/>
      <c r="J402" s="259">
        <v>56.4</v>
      </c>
      <c r="K402" s="260"/>
      <c r="L402" s="260"/>
      <c r="M402" s="261"/>
      <c r="N402" s="262" t="s">
        <v>48</v>
      </c>
      <c r="O402" s="263">
        <v>4</v>
      </c>
      <c r="P402" s="247" t="s">
        <v>92</v>
      </c>
      <c r="Q402" s="263"/>
      <c r="R402" s="263"/>
      <c r="S402" s="263"/>
      <c r="T402" s="263"/>
      <c r="U402" s="263"/>
      <c r="V402" s="263"/>
      <c r="X402" s="264" t="str">
        <f t="shared" si="26"/>
        <v/>
      </c>
    </row>
    <row r="403" spans="1:24" s="248" customFormat="1" ht="28.5" customHeight="1">
      <c r="A403" s="266" t="str">
        <f>IF(N403="NA","SEM COBERTA",IF(N403="R","REVISAR",VLOOKUP(N403,'auxiliar memoria'!$H$40:$I$47,2,FALSE)))</f>
        <v>REVISAR</v>
      </c>
      <c r="B403" s="267" t="str">
        <f>IF(N403="R",VLOOKUP(O403,'auxiliar memoria'!$H$40:$I$47,2,FALSE),VLOOKUP(O403,'auxiliar memoria'!$P$122:$Q$127,2,FALSE))</f>
        <v>forro em pvc</v>
      </c>
      <c r="C403" s="256"/>
      <c r="D403" s="268" t="s">
        <v>121</v>
      </c>
      <c r="E403" s="259"/>
      <c r="F403" s="258"/>
      <c r="G403" s="259"/>
      <c r="H403" s="259"/>
      <c r="I403" s="259"/>
      <c r="J403" s="259">
        <v>55.61</v>
      </c>
      <c r="K403" s="260"/>
      <c r="L403" s="260"/>
      <c r="M403" s="261"/>
      <c r="N403" s="262" t="s">
        <v>48</v>
      </c>
      <c r="O403" s="263">
        <v>4</v>
      </c>
      <c r="P403" s="247" t="s">
        <v>92</v>
      </c>
      <c r="Q403" s="263"/>
      <c r="R403" s="263"/>
      <c r="S403" s="263"/>
      <c r="T403" s="263"/>
      <c r="U403" s="263"/>
      <c r="V403" s="263"/>
      <c r="X403" s="264" t="str">
        <f t="shared" si="26"/>
        <v/>
      </c>
    </row>
    <row r="404" spans="1:24" s="248" customFormat="1" ht="28.5" customHeight="1">
      <c r="A404" s="266" t="str">
        <f>IF(N404="NA","SEM COBERTA",IF(N404="R","REVISAR",VLOOKUP(N404,'auxiliar memoria'!$H$40:$I$47,2,FALSE)))</f>
        <v>REVISAR</v>
      </c>
      <c r="B404" s="267" t="str">
        <f>IF(N404="R",VLOOKUP(O404,'auxiliar memoria'!$H$40:$I$47,2,FALSE),VLOOKUP(O404,'auxiliar memoria'!$P$122:$Q$127,2,FALSE))</f>
        <v>forro em pvc</v>
      </c>
      <c r="C404" s="256"/>
      <c r="D404" s="268" t="s">
        <v>354</v>
      </c>
      <c r="E404" s="259"/>
      <c r="F404" s="258"/>
      <c r="G404" s="259"/>
      <c r="H404" s="259"/>
      <c r="I404" s="259"/>
      <c r="J404" s="259">
        <v>20.66</v>
      </c>
      <c r="K404" s="260"/>
      <c r="L404" s="260"/>
      <c r="M404" s="261"/>
      <c r="N404" s="262" t="s">
        <v>48</v>
      </c>
      <c r="O404" s="263">
        <v>4</v>
      </c>
      <c r="P404" s="247" t="s">
        <v>92</v>
      </c>
      <c r="Q404" s="263"/>
      <c r="R404" s="263"/>
      <c r="S404" s="263"/>
      <c r="T404" s="263"/>
      <c r="U404" s="263"/>
      <c r="V404" s="263"/>
      <c r="X404" s="264" t="str">
        <f t="shared" si="26"/>
        <v/>
      </c>
    </row>
    <row r="405" spans="1:24" s="248" customFormat="1" ht="28.5" customHeight="1">
      <c r="A405" s="266" t="str">
        <f>IF(N405="NA","SEM COBERTA",IF(N405="R","REVISAR",VLOOKUP(N405,'auxiliar memoria'!$H$40:$I$47,2,FALSE)))</f>
        <v>REVISAR</v>
      </c>
      <c r="B405" s="267" t="str">
        <f>IF(N405="R",VLOOKUP(O405,'auxiliar memoria'!$H$40:$I$47,2,FALSE),VLOOKUP(O405,'auxiliar memoria'!$P$122:$Q$127,2,FALSE))</f>
        <v>forro em pvc</v>
      </c>
      <c r="C405" s="256"/>
      <c r="D405" s="268" t="s">
        <v>355</v>
      </c>
      <c r="E405" s="269"/>
      <c r="F405" s="258"/>
      <c r="G405" s="259"/>
      <c r="H405" s="259"/>
      <c r="I405" s="259"/>
      <c r="J405" s="259">
        <v>23.67</v>
      </c>
      <c r="K405" s="260"/>
      <c r="L405" s="260"/>
      <c r="M405" s="261"/>
      <c r="N405" s="262" t="s">
        <v>48</v>
      </c>
      <c r="O405" s="263">
        <v>4</v>
      </c>
      <c r="P405" s="247" t="s">
        <v>92</v>
      </c>
      <c r="Q405" s="263"/>
      <c r="R405" s="263"/>
      <c r="S405" s="263"/>
      <c r="T405" s="263"/>
      <c r="U405" s="263"/>
      <c r="V405" s="263"/>
      <c r="X405" s="264" t="str">
        <f t="shared" si="26"/>
        <v/>
      </c>
    </row>
    <row r="406" spans="1:24" s="248" customFormat="1" ht="28.5" customHeight="1">
      <c r="A406" s="266" t="str">
        <f>IF(N406="NA","SEM COBERTA",IF(N406="R","REVISAR",VLOOKUP(N406,'auxiliar memoria'!$H$40:$I$47,2,FALSE)))</f>
        <v>REVISAR</v>
      </c>
      <c r="B406" s="267" t="str">
        <f>IF(N406="R",VLOOKUP(O406,'auxiliar memoria'!$H$40:$I$47,2,FALSE),VLOOKUP(O406,'auxiliar memoria'!$P$122:$Q$127,2,FALSE))</f>
        <v>forro em pvc</v>
      </c>
      <c r="C406" s="256"/>
      <c r="D406" s="268" t="s">
        <v>356</v>
      </c>
      <c r="E406" s="259"/>
      <c r="F406" s="258"/>
      <c r="G406" s="259"/>
      <c r="H406" s="270"/>
      <c r="I406" s="259"/>
      <c r="J406" s="259">
        <v>19.21</v>
      </c>
      <c r="K406" s="260"/>
      <c r="L406" s="260"/>
      <c r="M406" s="261"/>
      <c r="N406" s="262" t="s">
        <v>48</v>
      </c>
      <c r="O406" s="263">
        <v>4</v>
      </c>
      <c r="P406" s="247" t="s">
        <v>92</v>
      </c>
      <c r="Q406" s="263"/>
      <c r="R406" s="263"/>
      <c r="S406" s="263"/>
      <c r="T406" s="263"/>
      <c r="U406" s="263"/>
      <c r="V406" s="263"/>
      <c r="X406" s="264" t="str">
        <f t="shared" si="26"/>
        <v/>
      </c>
    </row>
    <row r="407" spans="1:24" s="248" customFormat="1" ht="28.5" customHeight="1">
      <c r="A407" s="266" t="str">
        <f>IF(N407="NA","SEM COBERTA",IF(N407="R","REVISAR",VLOOKUP(N407,'auxiliar memoria'!$H$40:$I$47,2,FALSE)))</f>
        <v>REVISAR</v>
      </c>
      <c r="B407" s="267" t="str">
        <f>IF(N407="R",VLOOKUP(O407,'auxiliar memoria'!$H$40:$I$47,2,FALSE),VLOOKUP(O407,'auxiliar memoria'!$P$122:$Q$127,2,FALSE))</f>
        <v>forro em pvc</v>
      </c>
      <c r="C407" s="256"/>
      <c r="D407" s="268" t="s">
        <v>357</v>
      </c>
      <c r="E407" s="269"/>
      <c r="F407" s="258"/>
      <c r="G407" s="259"/>
      <c r="H407" s="259"/>
      <c r="I407" s="259"/>
      <c r="J407" s="259">
        <v>23.62</v>
      </c>
      <c r="K407" s="260"/>
      <c r="L407" s="260"/>
      <c r="M407" s="261"/>
      <c r="N407" s="262" t="s">
        <v>48</v>
      </c>
      <c r="O407" s="263">
        <v>4</v>
      </c>
      <c r="P407" s="247" t="s">
        <v>92</v>
      </c>
      <c r="Q407" s="263"/>
      <c r="R407" s="263"/>
      <c r="S407" s="263"/>
      <c r="T407" s="263"/>
      <c r="U407" s="263"/>
      <c r="V407" s="263"/>
      <c r="X407" s="264" t="str">
        <f t="shared" si="26"/>
        <v/>
      </c>
    </row>
    <row r="408" spans="1:24" s="248" customFormat="1" ht="28.5" customHeight="1">
      <c r="A408" s="266" t="str">
        <f>IF(N408="NA","SEM COBERTA",IF(N408="R","REVISAR",VLOOKUP(N408,'auxiliar memoria'!$H$40:$I$47,2,FALSE)))</f>
        <v>REVISAR</v>
      </c>
      <c r="B408" s="267" t="str">
        <f>IF(N408="R",VLOOKUP(O408,'auxiliar memoria'!$H$40:$I$47,2,FALSE),VLOOKUP(O408,'auxiliar memoria'!$P$122:$Q$127,2,FALSE))</f>
        <v>forro em pvc</v>
      </c>
      <c r="C408" s="256"/>
      <c r="D408" s="268" t="s">
        <v>358</v>
      </c>
      <c r="E408" s="269"/>
      <c r="F408" s="258"/>
      <c r="G408" s="259"/>
      <c r="H408" s="259"/>
      <c r="I408" s="259"/>
      <c r="J408" s="259">
        <v>2.71</v>
      </c>
      <c r="K408" s="260"/>
      <c r="L408" s="260"/>
      <c r="M408" s="261"/>
      <c r="N408" s="262" t="s">
        <v>48</v>
      </c>
      <c r="O408" s="263">
        <v>4</v>
      </c>
      <c r="P408" s="247" t="s">
        <v>92</v>
      </c>
      <c r="Q408" s="263"/>
      <c r="R408" s="263"/>
      <c r="S408" s="263"/>
      <c r="T408" s="263"/>
      <c r="U408" s="263"/>
      <c r="V408" s="263"/>
      <c r="X408" s="264" t="str">
        <f t="shared" si="26"/>
        <v/>
      </c>
    </row>
    <row r="409" spans="1:24" s="248" customFormat="1" ht="28.5" customHeight="1">
      <c r="A409" s="266" t="str">
        <f>IF(N409="NA","SEM COBERTA",IF(N409="R","REVISAR",VLOOKUP(N409,'auxiliar memoria'!$H$40:$I$47,2,FALSE)))</f>
        <v>REVISAR</v>
      </c>
      <c r="B409" s="267" t="str">
        <f>IF(N409="R",VLOOKUP(O409,'auxiliar memoria'!$H$40:$I$47,2,FALSE),VLOOKUP(O409,'auxiliar memoria'!$P$122:$Q$127,2,FALSE))</f>
        <v>forro em pvc</v>
      </c>
      <c r="C409" s="256"/>
      <c r="D409" s="268" t="s">
        <v>359</v>
      </c>
      <c r="E409" s="269"/>
      <c r="F409" s="258"/>
      <c r="G409" s="259"/>
      <c r="H409" s="259"/>
      <c r="I409" s="259"/>
      <c r="J409" s="259">
        <v>2.81</v>
      </c>
      <c r="K409" s="260"/>
      <c r="L409" s="260"/>
      <c r="M409" s="261"/>
      <c r="N409" s="262" t="s">
        <v>48</v>
      </c>
      <c r="O409" s="263">
        <v>4</v>
      </c>
      <c r="P409" s="247" t="s">
        <v>92</v>
      </c>
      <c r="Q409" s="263"/>
      <c r="R409" s="263"/>
      <c r="S409" s="263"/>
      <c r="T409" s="263"/>
      <c r="U409" s="263"/>
      <c r="V409" s="263"/>
      <c r="X409" s="264" t="str">
        <f>IF(C409="sinapi","ok",IF(C409="orse","ok",IF(P409="título","título",IF(P409="intertítulo","intertítulo",""))))</f>
        <v/>
      </c>
    </row>
    <row r="410" spans="1:24" s="248" customFormat="1" ht="28.5" customHeight="1">
      <c r="A410" s="266" t="str">
        <f>IF(N410="NA","SEM COBERTA",IF(N410="R","REVISAR",VLOOKUP(N410,'auxiliar memoria'!$H$40:$I$47,2,FALSE)))</f>
        <v>REVISAR</v>
      </c>
      <c r="B410" s="267" t="str">
        <f>IF(N410="R",VLOOKUP(O410,'auxiliar memoria'!$H$40:$I$47,2,FALSE),VLOOKUP(O410,'auxiliar memoria'!$P$122:$Q$127,2,FALSE))</f>
        <v>forro em pvc</v>
      </c>
      <c r="C410" s="256"/>
      <c r="D410" s="268" t="s">
        <v>360</v>
      </c>
      <c r="E410" s="259"/>
      <c r="F410" s="258"/>
      <c r="G410" s="259"/>
      <c r="H410" s="270"/>
      <c r="I410" s="259"/>
      <c r="J410" s="259">
        <v>19.05</v>
      </c>
      <c r="K410" s="260"/>
      <c r="L410" s="260"/>
      <c r="M410" s="261"/>
      <c r="N410" s="262" t="s">
        <v>48</v>
      </c>
      <c r="O410" s="263">
        <v>4</v>
      </c>
      <c r="P410" s="247" t="s">
        <v>92</v>
      </c>
      <c r="Q410" s="263"/>
      <c r="R410" s="263"/>
      <c r="S410" s="263"/>
      <c r="T410" s="263"/>
      <c r="U410" s="263"/>
      <c r="V410" s="263"/>
      <c r="X410" s="264" t="str">
        <f>IF(C410="sinapi","ok",IF(C410="orse","ok",IF(P410="título","título",IF(P410="intertítulo","intertítulo",""))))</f>
        <v/>
      </c>
    </row>
    <row r="411" spans="1:24" s="248" customFormat="1" ht="28.5" customHeight="1">
      <c r="A411" s="266" t="str">
        <f>IF(N411="NA","SEM COBERTA",IF(N411="R","REVISAR",VLOOKUP(N411,'auxiliar memoria'!$H$40:$I$47,2,FALSE)))</f>
        <v>REVISAR</v>
      </c>
      <c r="B411" s="267" t="str">
        <f>IF(N411="R",VLOOKUP(O411,'auxiliar memoria'!$H$40:$I$47,2,FALSE),VLOOKUP(O411,'auxiliar memoria'!$P$122:$Q$127,2,FALSE))</f>
        <v>forro em pvc</v>
      </c>
      <c r="C411" s="256"/>
      <c r="D411" s="268" t="s">
        <v>365</v>
      </c>
      <c r="E411" s="259"/>
      <c r="F411" s="258"/>
      <c r="G411" s="259"/>
      <c r="H411" s="271"/>
      <c r="I411" s="259"/>
      <c r="J411" s="259">
        <v>243.65</v>
      </c>
      <c r="K411" s="260"/>
      <c r="L411" s="260"/>
      <c r="M411" s="261"/>
      <c r="N411" s="262" t="s">
        <v>48</v>
      </c>
      <c r="O411" s="263">
        <v>4</v>
      </c>
      <c r="P411" s="247" t="s">
        <v>92</v>
      </c>
      <c r="Q411" s="263"/>
      <c r="R411" s="263"/>
      <c r="S411" s="263"/>
      <c r="T411" s="263"/>
      <c r="U411" s="263"/>
      <c r="V411" s="263"/>
      <c r="X411" s="264" t="str">
        <f>IF(C411="sinapi","ok",IF(C411="orse","ok",IF(P411="título","título",IF(P411="intertítulo","intertítulo",""))))</f>
        <v/>
      </c>
    </row>
    <row r="412" spans="1:24" s="248" customFormat="1" ht="28.5" customHeight="1">
      <c r="A412" s="266" t="str">
        <f>IF(N412="NA","SEM COBERTA",IF(N412="R","REVISAR",VLOOKUP(N412,'auxiliar memoria'!$H$40:$I$47,2,FALSE)))</f>
        <v>REVISAR</v>
      </c>
      <c r="B412" s="267" t="str">
        <f>IF(N412="R",VLOOKUP(O412,'auxiliar memoria'!$H$40:$I$47,2,FALSE),VLOOKUP(O412,'auxiliar memoria'!$P$122:$Q$127,2,FALSE))</f>
        <v>forro em pvc</v>
      </c>
      <c r="C412" s="256"/>
      <c r="D412" s="268" t="s">
        <v>361</v>
      </c>
      <c r="E412" s="257"/>
      <c r="F412" s="258"/>
      <c r="G412" s="259"/>
      <c r="H412" s="259"/>
      <c r="I412" s="259"/>
      <c r="J412" s="259">
        <v>38.479999999999997</v>
      </c>
      <c r="K412" s="260"/>
      <c r="L412" s="260"/>
      <c r="M412" s="261"/>
      <c r="N412" s="262" t="s">
        <v>48</v>
      </c>
      <c r="O412" s="263">
        <v>4</v>
      </c>
      <c r="P412" s="247"/>
      <c r="Q412" s="263"/>
      <c r="R412" s="263"/>
      <c r="S412" s="263"/>
      <c r="T412" s="263"/>
      <c r="U412" s="263"/>
      <c r="V412" s="263"/>
      <c r="X412" s="264"/>
    </row>
    <row r="413" spans="1:24" s="248" customFormat="1" ht="28.5" customHeight="1">
      <c r="A413" s="266" t="str">
        <f>IF(N413="NA","SEM COBERTA",IF(N413="R","REVISAR",VLOOKUP(N413,'auxiliar memoria'!$H$40:$I$47,2,FALSE)))</f>
        <v>REVISAR</v>
      </c>
      <c r="B413" s="267" t="str">
        <f>IF(N413="R",VLOOKUP(O413,'auxiliar memoria'!$H$40:$I$47,2,FALSE),VLOOKUP(O413,'auxiliar memoria'!$P$122:$Q$127,2,FALSE))</f>
        <v>forro em pvc</v>
      </c>
      <c r="C413" s="256"/>
      <c r="D413" s="268" t="s">
        <v>353</v>
      </c>
      <c r="E413" s="257"/>
      <c r="F413" s="258"/>
      <c r="G413" s="259"/>
      <c r="H413" s="259"/>
      <c r="I413" s="259"/>
      <c r="J413" s="259">
        <v>37.01</v>
      </c>
      <c r="K413" s="260"/>
      <c r="L413" s="260"/>
      <c r="M413" s="261"/>
      <c r="N413" s="262" t="s">
        <v>48</v>
      </c>
      <c r="O413" s="263">
        <v>4</v>
      </c>
      <c r="P413" s="247"/>
      <c r="Q413" s="263"/>
      <c r="R413" s="263"/>
      <c r="S413" s="263"/>
      <c r="T413" s="263"/>
      <c r="U413" s="263"/>
      <c r="V413" s="263"/>
      <c r="X413" s="264"/>
    </row>
    <row r="414" spans="1:24" s="248" customFormat="1" ht="28.5" customHeight="1">
      <c r="A414" s="266" t="str">
        <f>IF(N414="NA","SEM COBERTA",IF(N414="R","REVISAR",VLOOKUP(N414,'auxiliar memoria'!$H$40:$I$47,2,FALSE)))</f>
        <v>REVISAR</v>
      </c>
      <c r="B414" s="267" t="str">
        <f>IF(N414="R",VLOOKUP(O414,'auxiliar memoria'!$H$40:$I$47,2,FALSE),VLOOKUP(O414,'auxiliar memoria'!$P$122:$Q$127,2,FALSE))</f>
        <v>forro em pvc</v>
      </c>
      <c r="C414" s="256"/>
      <c r="D414" s="268" t="s">
        <v>179</v>
      </c>
      <c r="E414" s="257"/>
      <c r="F414" s="258"/>
      <c r="G414" s="259"/>
      <c r="H414" s="259"/>
      <c r="I414" s="259"/>
      <c r="J414" s="259">
        <v>19.25</v>
      </c>
      <c r="K414" s="260"/>
      <c r="L414" s="260"/>
      <c r="M414" s="261"/>
      <c r="N414" s="262" t="s">
        <v>48</v>
      </c>
      <c r="O414" s="263">
        <v>4</v>
      </c>
      <c r="P414" s="247"/>
      <c r="Q414" s="263"/>
      <c r="R414" s="263"/>
      <c r="S414" s="263"/>
      <c r="T414" s="263"/>
      <c r="U414" s="263"/>
      <c r="V414" s="263"/>
      <c r="X414" s="264"/>
    </row>
    <row r="417" spans="1:24" ht="23.25">
      <c r="D417" s="348" t="s">
        <v>427</v>
      </c>
    </row>
    <row r="418" spans="1:24" s="248" customFormat="1" ht="28.5" customHeight="1">
      <c r="A418" s="266" t="str">
        <f>IF(N418="NA","SEM COBERTA",IF(N418="R","REVISAR",VLOOKUP(N418,'auxiliar memoria'!$H$40:$I$47,2,FALSE)))</f>
        <v>forro em pvc</v>
      </c>
      <c r="B418" s="267" t="str">
        <f>IF(N418="R",VLOOKUP(O418,'auxiliar memoria'!$H$40:$I$47,2,FALSE),VLOOKUP(O418,'auxiliar memoria'!$P$122:$Q$127,2,FALSE))</f>
        <v>Forro pvc branco</v>
      </c>
      <c r="C418" s="256"/>
      <c r="D418" s="268" t="s">
        <v>362</v>
      </c>
      <c r="E418" s="269"/>
      <c r="F418" s="258"/>
      <c r="G418" s="259"/>
      <c r="H418" s="259"/>
      <c r="I418" s="259"/>
      <c r="J418" s="259">
        <v>7.93</v>
      </c>
      <c r="K418" s="260"/>
      <c r="L418" s="260"/>
      <c r="M418" s="261"/>
      <c r="N418" s="262">
        <v>4</v>
      </c>
      <c r="O418" s="263">
        <v>4</v>
      </c>
      <c r="P418" s="247"/>
      <c r="Q418" s="263"/>
      <c r="R418" s="263"/>
      <c r="S418" s="263"/>
      <c r="T418" s="263"/>
      <c r="U418" s="263"/>
      <c r="V418" s="263"/>
      <c r="X418" s="264"/>
    </row>
    <row r="419" spans="1:24" s="248" customFormat="1" ht="28.5" customHeight="1">
      <c r="A419" s="266" t="str">
        <f>IF(N419="NA","SEM COBERTA",IF(N419="R","REVISAR",VLOOKUP(N419,'auxiliar memoria'!$H$40:$I$47,2,FALSE)))</f>
        <v>forro em pvc</v>
      </c>
      <c r="B419" s="267" t="str">
        <f>IF(N419="R",VLOOKUP(O419,'auxiliar memoria'!$H$40:$I$47,2,FALSE),VLOOKUP(O419,'auxiliar memoria'!$P$122:$Q$127,2,FALSE))</f>
        <v>Forro pvc branco</v>
      </c>
      <c r="C419" s="256"/>
      <c r="D419" s="268" t="s">
        <v>363</v>
      </c>
      <c r="E419" s="269"/>
      <c r="F419" s="258"/>
      <c r="G419" s="259"/>
      <c r="H419" s="259"/>
      <c r="I419" s="259"/>
      <c r="J419" s="259">
        <v>4.1100000000000003</v>
      </c>
      <c r="K419" s="260"/>
      <c r="L419" s="260"/>
      <c r="M419" s="261"/>
      <c r="N419" s="262">
        <v>4</v>
      </c>
      <c r="O419" s="263">
        <v>4</v>
      </c>
      <c r="P419" s="247"/>
      <c r="Q419" s="263"/>
      <c r="R419" s="263"/>
      <c r="S419" s="263"/>
      <c r="T419" s="263"/>
      <c r="U419" s="263"/>
      <c r="V419" s="263"/>
      <c r="X419" s="264"/>
    </row>
    <row r="420" spans="1:24" s="248" customFormat="1" ht="28.5" customHeight="1">
      <c r="A420" s="266" t="str">
        <f>IF(N420="NA","SEM COBERTA",IF(N420="R","REVISAR",VLOOKUP(N420,'auxiliar memoria'!$H$40:$I$47,2,FALSE)))</f>
        <v>forro em pvc</v>
      </c>
      <c r="B420" s="267" t="str">
        <f>IF(N420="R",VLOOKUP(O420,'auxiliar memoria'!$H$40:$I$47,2,FALSE),VLOOKUP(O420,'auxiliar memoria'!$P$122:$Q$127,2,FALSE))</f>
        <v>Forro pvc branco</v>
      </c>
      <c r="C420" s="256"/>
      <c r="D420" s="268" t="s">
        <v>364</v>
      </c>
      <c r="E420" s="269"/>
      <c r="F420" s="258"/>
      <c r="G420" s="259"/>
      <c r="H420" s="259"/>
      <c r="I420" s="259"/>
      <c r="J420" s="259">
        <v>4.76</v>
      </c>
      <c r="K420" s="260"/>
      <c r="L420" s="260"/>
      <c r="M420" s="261"/>
      <c r="N420" s="262">
        <v>4</v>
      </c>
      <c r="O420" s="263">
        <v>4</v>
      </c>
      <c r="P420" s="247"/>
      <c r="Q420" s="263"/>
      <c r="R420" s="263"/>
      <c r="S420" s="263"/>
      <c r="T420" s="263"/>
      <c r="U420" s="263"/>
      <c r="V420" s="263"/>
      <c r="X420" s="264"/>
    </row>
  </sheetData>
  <customSheetViews>
    <customSheetView guid="{BF95D06F-A801-4955-B76D-3C2C36D85037}" state="hidden">
      <selection activeCell="D364" sqref="D364"/>
      <pageMargins left="0.511811024" right="0.511811024" top="0.78740157499999996" bottom="0.78740157499999996" header="0.31496062000000002" footer="0.31496062000000002"/>
    </customSheetView>
    <customSheetView guid="{385977A3-6FE9-40C9-8548-2B73DA2662B2}" state="hidden">
      <selection activeCell="D364" sqref="D364"/>
      <pageMargins left="0.511811024" right="0.511811024" top="0.78740157499999996" bottom="0.78740157499999996" header="0.31496062000000002" footer="0.31496062000000002"/>
    </customSheetView>
  </customSheetViews>
  <conditionalFormatting sqref="B71 I71:J71 A131:M132 I130:J133 J111:J132 A231:M251">
    <cfRule type="expression" dxfId="710" priority="814">
      <formula>$N71="LEVANTADO"</formula>
    </cfRule>
  </conditionalFormatting>
  <conditionalFormatting sqref="I71:J71 A131:O132 I130:J133 J111:J132 A131:B133">
    <cfRule type="expression" dxfId="709" priority="813">
      <formula>$O71="NÃO INDICADO"</formula>
    </cfRule>
  </conditionalFormatting>
  <conditionalFormatting sqref="A71:B71">
    <cfRule type="expression" dxfId="708" priority="808">
      <formula>$O71="NÃO INDICADO"</formula>
    </cfRule>
  </conditionalFormatting>
  <conditionalFormatting sqref="A25:B25">
    <cfRule type="expression" dxfId="707" priority="855">
      <formula>$O25="NÃO INDICADO"</formula>
    </cfRule>
  </conditionalFormatting>
  <conditionalFormatting sqref="I25">
    <cfRule type="expression" dxfId="706" priority="854">
      <formula>$N25="LEVANTADO"</formula>
    </cfRule>
  </conditionalFormatting>
  <conditionalFormatting sqref="I25">
    <cfRule type="expression" dxfId="705" priority="853">
      <formula>$O25="NÃO INDICADO"</formula>
    </cfRule>
  </conditionalFormatting>
  <conditionalFormatting sqref="A37:C37 I37:M37">
    <cfRule type="expression" dxfId="704" priority="852">
      <formula>$N37="LEVANTADO"</formula>
    </cfRule>
  </conditionalFormatting>
  <conditionalFormatting sqref="A37:C37 I37:O37">
    <cfRule type="expression" dxfId="703" priority="851">
      <formula>$O37="NÃO INDICADO"</formula>
    </cfRule>
  </conditionalFormatting>
  <conditionalFormatting sqref="A37:B37">
    <cfRule type="expression" dxfId="702" priority="848">
      <formula>$O37="NÃO INDICADO"</formula>
    </cfRule>
  </conditionalFormatting>
  <conditionalFormatting sqref="A40:C40 I40:M40">
    <cfRule type="expression" dxfId="701" priority="847">
      <formula>$N40="LEVANTADO"</formula>
    </cfRule>
  </conditionalFormatting>
  <conditionalFormatting sqref="A40:C40 I40:O40">
    <cfRule type="expression" dxfId="700" priority="846">
      <formula>$O40="NÃO INDICADO"</formula>
    </cfRule>
  </conditionalFormatting>
  <conditionalFormatting sqref="D40:J40">
    <cfRule type="expression" dxfId="699" priority="845">
      <formula>$N40="LEVANTADO"</formula>
    </cfRule>
  </conditionalFormatting>
  <conditionalFormatting sqref="D40:J40">
    <cfRule type="expression" dxfId="698" priority="844">
      <formula>$O40="NÃO INDICADO"</formula>
    </cfRule>
  </conditionalFormatting>
  <conditionalFormatting sqref="A41:B41">
    <cfRule type="expression" dxfId="697" priority="838">
      <formula>$O41="NÃO INDICADO"</formula>
    </cfRule>
  </conditionalFormatting>
  <conditionalFormatting sqref="A38:C38 I38:M38">
    <cfRule type="expression" dxfId="696" priority="837">
      <formula>$N38="LEVANTADO"</formula>
    </cfRule>
  </conditionalFormatting>
  <conditionalFormatting sqref="A38:C38 I38:O38">
    <cfRule type="expression" dxfId="695" priority="836">
      <formula>$O38="NÃO INDICADO"</formula>
    </cfRule>
  </conditionalFormatting>
  <conditionalFormatting sqref="D38:J38">
    <cfRule type="expression" dxfId="694" priority="835">
      <formula>$N38="LEVANTADO"</formula>
    </cfRule>
  </conditionalFormatting>
  <conditionalFormatting sqref="D38:J38">
    <cfRule type="expression" dxfId="693" priority="834">
      <formula>$O38="NÃO INDICADO"</formula>
    </cfRule>
  </conditionalFormatting>
  <conditionalFormatting sqref="D39:J39">
    <cfRule type="expression" dxfId="692" priority="829">
      <formula>$O39="NÃO INDICADO"</formula>
    </cfRule>
  </conditionalFormatting>
  <conditionalFormatting sqref="A43:B43">
    <cfRule type="expression" dxfId="691" priority="823">
      <formula>$O43="NÃO INDICADO"</formula>
    </cfRule>
  </conditionalFormatting>
  <conditionalFormatting sqref="A44:B44">
    <cfRule type="expression" dxfId="690" priority="818">
      <formula>$O44="NÃO INDICADO"</formula>
    </cfRule>
  </conditionalFormatting>
  <conditionalFormatting sqref="A49:B49 A51:B51 A53:B53 A55:B55 A57:B57 A59:B59 A61:B61 A63:B63 A65:B65 A67:B67 A69:B69">
    <cfRule type="expression" dxfId="689" priority="815">
      <formula>$O49="NÃO INDICADO"</formula>
    </cfRule>
  </conditionalFormatting>
  <conditionalFormatting sqref="B71">
    <cfRule type="expression" dxfId="688" priority="812">
      <formula>$O71="NÃO INDICADO"</formula>
    </cfRule>
  </conditionalFormatting>
  <conditionalFormatting sqref="C71:H71 J71:M71">
    <cfRule type="expression" dxfId="687" priority="811">
      <formula>$N71="LEVANTADO"</formula>
    </cfRule>
  </conditionalFormatting>
  <conditionalFormatting sqref="C71:H71 J71:O71">
    <cfRule type="expression" dxfId="686" priority="810">
      <formula>$O71="NÃO INDICADO"</formula>
    </cfRule>
  </conditionalFormatting>
  <conditionalFormatting sqref="A71:B71">
    <cfRule type="expression" dxfId="685" priority="809">
      <formula>$N71="LEVANTADO"</formula>
    </cfRule>
  </conditionalFormatting>
  <conditionalFormatting sqref="A71:B71">
    <cfRule type="expression" dxfId="684" priority="807">
      <formula>$O71="NÃO INDICADO"</formula>
    </cfRule>
  </conditionalFormatting>
  <conditionalFormatting sqref="I71">
    <cfRule type="expression" dxfId="683" priority="806">
      <formula>$N71="LEVANTADO"</formula>
    </cfRule>
  </conditionalFormatting>
  <conditionalFormatting sqref="I71">
    <cfRule type="expression" dxfId="682" priority="805">
      <formula>$O71="NÃO INDICADO"</formula>
    </cfRule>
  </conditionalFormatting>
  <conditionalFormatting sqref="A28:C28 K28:M28 K30:M32 A30:C32 A34:C34 K34:M34 K36:M36 A36:C36 K26:M26 A26:C26 A27:B27 A29:B29 A33:B33 A35:B35 A42:C42 I42:M42 B37:B41 B43:B44 B5:B25 A5:A24 C5:M24 I25:J36 I37:I41 I43:I44">
    <cfRule type="expression" dxfId="681" priority="882">
      <formula>$N5="LEVANTADO"</formula>
    </cfRule>
  </conditionalFormatting>
  <conditionalFormatting sqref="K28:O28 A28:C28 A30:C32 K30:O32 K34:O34 A34:C34 A36:C36 K36:O36 A8:C24 K8:O24 K26:O26 A26:C26 I42:O42 A42:C42 D6:J24 I25:J36 I37:I41 I43:I44">
    <cfRule type="expression" dxfId="680" priority="881">
      <formula>$O6="NÃO INDICADO"</formula>
    </cfRule>
  </conditionalFormatting>
  <conditionalFormatting sqref="D26:J26 D28:J28 D30:J32 D34:J34 D36:J36">
    <cfRule type="expression" dxfId="679" priority="880">
      <formula>$N26="LEVANTADO"</formula>
    </cfRule>
  </conditionalFormatting>
  <conditionalFormatting sqref="D26:J26 D28:J28 D30:J32 D34:J34 D36:J36">
    <cfRule type="expression" dxfId="678" priority="879">
      <formula>$O26="NÃO INDICADO"</formula>
    </cfRule>
  </conditionalFormatting>
  <conditionalFormatting sqref="D42:J42">
    <cfRule type="expression" dxfId="677" priority="878">
      <formula>$N42="LEVANTADO"</formula>
    </cfRule>
  </conditionalFormatting>
  <conditionalFormatting sqref="D42:J42">
    <cfRule type="expression" dxfId="676" priority="877">
      <formula>$O42="NÃO INDICADO"</formula>
    </cfRule>
  </conditionalFormatting>
  <conditionalFormatting sqref="A6:B24 A26:B36 A42:B42 B25 B37:B41 B43:B44">
    <cfRule type="expression" dxfId="675" priority="876">
      <formula>$O6="NÃO INDICADO"</formula>
    </cfRule>
  </conditionalFormatting>
  <conditionalFormatting sqref="K27:M27 A27:C27">
    <cfRule type="expression" dxfId="674" priority="875">
      <formula>$N27="LEVANTADO"</formula>
    </cfRule>
  </conditionalFormatting>
  <conditionalFormatting sqref="A27:C27 K27:O27">
    <cfRule type="expression" dxfId="673" priority="874">
      <formula>$O27="NÃO INDICADO"</formula>
    </cfRule>
  </conditionalFormatting>
  <conditionalFormatting sqref="D27:J27">
    <cfRule type="expression" dxfId="672" priority="873">
      <formula>$N27="LEVANTADO"</formula>
    </cfRule>
  </conditionalFormatting>
  <conditionalFormatting sqref="D27:J27">
    <cfRule type="expression" dxfId="671" priority="872">
      <formula>$O27="NÃO INDICADO"</formula>
    </cfRule>
  </conditionalFormatting>
  <conditionalFormatting sqref="A29:C29 K29:M29">
    <cfRule type="expression" dxfId="670" priority="871">
      <formula>$N29="LEVANTADO"</formula>
    </cfRule>
  </conditionalFormatting>
  <conditionalFormatting sqref="K29:O29 A29:C29">
    <cfRule type="expression" dxfId="669" priority="870">
      <formula>$O29="NÃO INDICADO"</formula>
    </cfRule>
  </conditionalFormatting>
  <conditionalFormatting sqref="D29:J29">
    <cfRule type="expression" dxfId="668" priority="869">
      <formula>$N29="LEVANTADO"</formula>
    </cfRule>
  </conditionalFormatting>
  <conditionalFormatting sqref="D29:J29">
    <cfRule type="expression" dxfId="667" priority="868">
      <formula>$O29="NÃO INDICADO"</formula>
    </cfRule>
  </conditionalFormatting>
  <conditionalFormatting sqref="K33:M33 A33:C33">
    <cfRule type="expression" dxfId="666" priority="867">
      <formula>$N33="LEVANTADO"</formula>
    </cfRule>
  </conditionalFormatting>
  <conditionalFormatting sqref="A33:C33 K33:O33">
    <cfRule type="expression" dxfId="665" priority="866">
      <formula>$O33="NÃO INDICADO"</formula>
    </cfRule>
  </conditionalFormatting>
  <conditionalFormatting sqref="D33:J33">
    <cfRule type="expression" dxfId="664" priority="865">
      <formula>$N33="LEVANTADO"</formula>
    </cfRule>
  </conditionalFormatting>
  <conditionalFormatting sqref="D33:J33">
    <cfRule type="expression" dxfId="663" priority="864">
      <formula>$O33="NÃO INDICADO"</formula>
    </cfRule>
  </conditionalFormatting>
  <conditionalFormatting sqref="A35:C35 K35:M35">
    <cfRule type="expression" dxfId="662" priority="863">
      <formula>$N35="LEVANTADO"</formula>
    </cfRule>
  </conditionalFormatting>
  <conditionalFormatting sqref="K35:O35 A35:C35">
    <cfRule type="expression" dxfId="661" priority="862">
      <formula>$O35="NÃO INDICADO"</formula>
    </cfRule>
  </conditionalFormatting>
  <conditionalFormatting sqref="D35:J35">
    <cfRule type="expression" dxfId="660" priority="861">
      <formula>$N35="LEVANTADO"</formula>
    </cfRule>
  </conditionalFormatting>
  <conditionalFormatting sqref="D35:J35">
    <cfRule type="expression" dxfId="659" priority="860">
      <formula>$O35="NÃO INDICADO"</formula>
    </cfRule>
  </conditionalFormatting>
  <conditionalFormatting sqref="C25:H25 J25:M25">
    <cfRule type="expression" dxfId="658" priority="859">
      <formula>$N25="LEVANTADO"</formula>
    </cfRule>
  </conditionalFormatting>
  <conditionalFormatting sqref="C25:H25 J25:O25">
    <cfRule type="expression" dxfId="657" priority="858">
      <formula>$O25="NÃO INDICADO"</formula>
    </cfRule>
  </conditionalFormatting>
  <conditionalFormatting sqref="A25:B25">
    <cfRule type="expression" dxfId="656" priority="857">
      <formula>$N25="LEVANTADO"</formula>
    </cfRule>
  </conditionalFormatting>
  <conditionalFormatting sqref="A25:B25">
    <cfRule type="expression" dxfId="655" priority="856">
      <formula>$O25="NÃO INDICADO"</formula>
    </cfRule>
  </conditionalFormatting>
  <conditionalFormatting sqref="D37:J37">
    <cfRule type="expression" dxfId="654" priority="850">
      <formula>$N37="LEVANTADO"</formula>
    </cfRule>
  </conditionalFormatting>
  <conditionalFormatting sqref="D37:J37">
    <cfRule type="expression" dxfId="653" priority="849">
      <formula>$O37="NÃO INDICADO"</formula>
    </cfRule>
  </conditionalFormatting>
  <conditionalFormatting sqref="A40:B40">
    <cfRule type="expression" dxfId="652" priority="843">
      <formula>$O40="NÃO INDICADO"</formula>
    </cfRule>
  </conditionalFormatting>
  <conditionalFormatting sqref="A41:C41 I41:M41">
    <cfRule type="expression" dxfId="651" priority="842">
      <formula>$N41="LEVANTADO"</formula>
    </cfRule>
  </conditionalFormatting>
  <conditionalFormatting sqref="A41:C41 I41:O41">
    <cfRule type="expression" dxfId="650" priority="841">
      <formula>$O41="NÃO INDICADO"</formula>
    </cfRule>
  </conditionalFormatting>
  <conditionalFormatting sqref="D41:J41">
    <cfRule type="expression" dxfId="649" priority="840">
      <formula>$N41="LEVANTADO"</formula>
    </cfRule>
  </conditionalFormatting>
  <conditionalFormatting sqref="D41:J41">
    <cfRule type="expression" dxfId="648" priority="839">
      <formula>$O41="NÃO INDICADO"</formula>
    </cfRule>
  </conditionalFormatting>
  <conditionalFormatting sqref="A38:B38">
    <cfRule type="expression" dxfId="647" priority="833">
      <formula>$O38="NÃO INDICADO"</formula>
    </cfRule>
  </conditionalFormatting>
  <conditionalFormatting sqref="A39:C39 I39:M39">
    <cfRule type="expression" dxfId="646" priority="832">
      <formula>$N39="LEVANTADO"</formula>
    </cfRule>
  </conditionalFormatting>
  <conditionalFormatting sqref="A39:C39 I39:O39">
    <cfRule type="expression" dxfId="645" priority="831">
      <formula>$O39="NÃO INDICADO"</formula>
    </cfRule>
  </conditionalFormatting>
  <conditionalFormatting sqref="D39:J39">
    <cfRule type="expression" dxfId="644" priority="830">
      <formula>$N39="LEVANTADO"</formula>
    </cfRule>
  </conditionalFormatting>
  <conditionalFormatting sqref="A39:B39">
    <cfRule type="expression" dxfId="643" priority="828">
      <formula>$O39="NÃO INDICADO"</formula>
    </cfRule>
  </conditionalFormatting>
  <conditionalFormatting sqref="A43:C43 I43:M43">
    <cfRule type="expression" dxfId="642" priority="827">
      <formula>$N43="LEVANTADO"</formula>
    </cfRule>
  </conditionalFormatting>
  <conditionalFormatting sqref="I43:O43 A43:C43">
    <cfRule type="expression" dxfId="641" priority="826">
      <formula>$O43="NÃO INDICADO"</formula>
    </cfRule>
  </conditionalFormatting>
  <conditionalFormatting sqref="D43:J43">
    <cfRule type="expression" dxfId="640" priority="825">
      <formula>$N43="LEVANTADO"</formula>
    </cfRule>
  </conditionalFormatting>
  <conditionalFormatting sqref="D43:J43">
    <cfRule type="expression" dxfId="639" priority="824">
      <formula>$O43="NÃO INDICADO"</formula>
    </cfRule>
  </conditionalFormatting>
  <conditionalFormatting sqref="A44:C44 I44:M44">
    <cfRule type="expression" dxfId="638" priority="822">
      <formula>$N44="LEVANTADO"</formula>
    </cfRule>
  </conditionalFormatting>
  <conditionalFormatting sqref="I44:O44 A44:C44">
    <cfRule type="expression" dxfId="637" priority="821">
      <formula>$O44="NÃO INDICADO"</formula>
    </cfRule>
  </conditionalFormatting>
  <conditionalFormatting sqref="D44:J44">
    <cfRule type="expression" dxfId="636" priority="820">
      <formula>$N44="LEVANTADO"</formula>
    </cfRule>
  </conditionalFormatting>
  <conditionalFormatting sqref="D44:J44">
    <cfRule type="expression" dxfId="635" priority="819">
      <formula>$O44="NÃO INDICADO"</formula>
    </cfRule>
  </conditionalFormatting>
  <conditionalFormatting sqref="A49:M49 A51:M51 A53:M53 A55:C55 A57:C57 E55:M55 A59:C59 E57:M57 A61:C61 E59:M59 A63:C63 E61:M61 A65:C65 E63:M63 A67:C67 E65:M65 A69:C69 E67:M67 J71 E69:M69">
    <cfRule type="expression" dxfId="634" priority="817">
      <formula>$N49="LEVANTADO"</formula>
    </cfRule>
  </conditionalFormatting>
  <conditionalFormatting sqref="D49:J49 D51:J51 A53:O53 A55:C55 A57:C57 E55:O55 A59:C59 E57:O57 A61:C61 E59:O59 A63:C63 E61:O61 A65:C65 E63:O63 A67:C67 E65:O65 A69:C69 E67:O67 J71 E69:O69">
    <cfRule type="expression" dxfId="633" priority="816">
      <formula>$O49="NÃO INDICADO"</formula>
    </cfRule>
  </conditionalFormatting>
  <conditionalFormatting sqref="A78:M79">
    <cfRule type="expression" dxfId="632" priority="791">
      <formula>$N78="LEVANTADO"</formula>
    </cfRule>
  </conditionalFormatting>
  <conditionalFormatting sqref="A78:O79">
    <cfRule type="expression" dxfId="631" priority="790">
      <formula>$O78="NÃO INDICADO"</formula>
    </cfRule>
  </conditionalFormatting>
  <conditionalFormatting sqref="A78:B79">
    <cfRule type="expression" dxfId="630" priority="789">
      <formula>$O78="NÃO INDICADO"</formula>
    </cfRule>
  </conditionalFormatting>
  <conditionalFormatting sqref="A130:B130">
    <cfRule type="expression" dxfId="629" priority="761">
      <formula>$O130="NÃO INDICADO"</formula>
    </cfRule>
  </conditionalFormatting>
  <conditionalFormatting sqref="I130">
    <cfRule type="expression" dxfId="628" priority="760">
      <formula>$N130="LEVANTADO"</formula>
    </cfRule>
  </conditionalFormatting>
  <conditionalFormatting sqref="I130">
    <cfRule type="expression" dxfId="627" priority="759">
      <formula>$O130="NÃO INDICADO"</formula>
    </cfRule>
  </conditionalFormatting>
  <conditionalFormatting sqref="A134:C134 I134 K134:M134">
    <cfRule type="expression" dxfId="626" priority="758">
      <formula>$N134="LEVANTADO"</formula>
    </cfRule>
  </conditionalFormatting>
  <conditionalFormatting sqref="A134:C134 I134 K134:O134">
    <cfRule type="expression" dxfId="625" priority="757">
      <formula>$O134="NÃO INDICADO"</formula>
    </cfRule>
  </conditionalFormatting>
  <conditionalFormatting sqref="A134:B134">
    <cfRule type="expression" dxfId="624" priority="754">
      <formula>$O134="NÃO INDICADO"</formula>
    </cfRule>
  </conditionalFormatting>
  <conditionalFormatting sqref="A137:C137 I137 K137:M137">
    <cfRule type="expression" dxfId="623" priority="753">
      <formula>$N137="LEVANTADO"</formula>
    </cfRule>
  </conditionalFormatting>
  <conditionalFormatting sqref="A137:C137 I137 K137:O137">
    <cfRule type="expression" dxfId="622" priority="752">
      <formula>$O137="NÃO INDICADO"</formula>
    </cfRule>
  </conditionalFormatting>
  <conditionalFormatting sqref="D137:I137">
    <cfRule type="expression" dxfId="621" priority="751">
      <formula>$N137="LEVANTADO"</formula>
    </cfRule>
  </conditionalFormatting>
  <conditionalFormatting sqref="D137:I137">
    <cfRule type="expression" dxfId="620" priority="750">
      <formula>$O137="NÃO INDICADO"</formula>
    </cfRule>
  </conditionalFormatting>
  <conditionalFormatting sqref="A138:B138">
    <cfRule type="expression" dxfId="619" priority="744">
      <formula>$O138="NÃO INDICADO"</formula>
    </cfRule>
  </conditionalFormatting>
  <conditionalFormatting sqref="A135:C135 I135 K135:M135">
    <cfRule type="expression" dxfId="618" priority="743">
      <formula>$N135="LEVANTADO"</formula>
    </cfRule>
  </conditionalFormatting>
  <conditionalFormatting sqref="A135:C135 I135 K135:O135">
    <cfRule type="expression" dxfId="617" priority="742">
      <formula>$O135="NÃO INDICADO"</formula>
    </cfRule>
  </conditionalFormatting>
  <conditionalFormatting sqref="D135:I135">
    <cfRule type="expression" dxfId="616" priority="741">
      <formula>$N135="LEVANTADO"</formula>
    </cfRule>
  </conditionalFormatting>
  <conditionalFormatting sqref="D135:I135">
    <cfRule type="expression" dxfId="615" priority="740">
      <formula>$O135="NÃO INDICADO"</formula>
    </cfRule>
  </conditionalFormatting>
  <conditionalFormatting sqref="D136:I136">
    <cfRule type="expression" dxfId="614" priority="735">
      <formula>$O136="NÃO INDICADO"</formula>
    </cfRule>
  </conditionalFormatting>
  <conditionalFormatting sqref="A140:B140">
    <cfRule type="expression" dxfId="613" priority="729">
      <formula>$O140="NÃO INDICADO"</formula>
    </cfRule>
  </conditionalFormatting>
  <conditionalFormatting sqref="A141:B141">
    <cfRule type="expression" dxfId="612" priority="724">
      <formula>$O141="NÃO INDICADO"</formula>
    </cfRule>
  </conditionalFormatting>
  <conditionalFormatting sqref="K133:M133 A133:C133 A139:C139 I139:M139 B134:B138 B140:B141 B111:B130 A111:A129 C111:M129 I134:I138 I140:I141">
    <cfRule type="expression" dxfId="611" priority="788">
      <formula>$N111="LEVANTADO"</formula>
    </cfRule>
  </conditionalFormatting>
  <conditionalFormatting sqref="A133:C133 K133:O133 A113:C129 K113:O129 I139:O139 A139:C139 D111:J129 I134:I138 I140:I141">
    <cfRule type="expression" dxfId="610" priority="787">
      <formula>$O111="NÃO INDICADO"</formula>
    </cfRule>
  </conditionalFormatting>
  <conditionalFormatting sqref="D133:J133">
    <cfRule type="expression" dxfId="609" priority="786">
      <formula>$N133="LEVANTADO"</formula>
    </cfRule>
  </conditionalFormatting>
  <conditionalFormatting sqref="D133:J133">
    <cfRule type="expression" dxfId="608" priority="785">
      <formula>$O133="NÃO INDICADO"</formula>
    </cfRule>
  </conditionalFormatting>
  <conditionalFormatting sqref="D139:J139">
    <cfRule type="expression" dxfId="607" priority="784">
      <formula>$N139="LEVANTADO"</formula>
    </cfRule>
  </conditionalFormatting>
  <conditionalFormatting sqref="D139:J139">
    <cfRule type="expression" dxfId="606" priority="783">
      <formula>$O139="NÃO INDICADO"</formula>
    </cfRule>
  </conditionalFormatting>
  <conditionalFormatting sqref="A111:B129 A139:B139 B130 B134:B138 B140:B141">
    <cfRule type="expression" dxfId="605" priority="782">
      <formula>$O111="NÃO INDICADO"</formula>
    </cfRule>
  </conditionalFormatting>
  <conditionalFormatting sqref="C130:H130 J130:M130">
    <cfRule type="expression" dxfId="604" priority="765">
      <formula>$N130="LEVANTADO"</formula>
    </cfRule>
  </conditionalFormatting>
  <conditionalFormatting sqref="C130:H130 J130:O130">
    <cfRule type="expression" dxfId="603" priority="764">
      <formula>$O130="NÃO INDICADO"</formula>
    </cfRule>
  </conditionalFormatting>
  <conditionalFormatting sqref="A130:B130">
    <cfRule type="expression" dxfId="602" priority="763">
      <formula>$N130="LEVANTADO"</formula>
    </cfRule>
  </conditionalFormatting>
  <conditionalFormatting sqref="A130:B130">
    <cfRule type="expression" dxfId="601" priority="762">
      <formula>$O130="NÃO INDICADO"</formula>
    </cfRule>
  </conditionalFormatting>
  <conditionalFormatting sqref="D134:I134">
    <cfRule type="expression" dxfId="600" priority="756">
      <formula>$N134="LEVANTADO"</formula>
    </cfRule>
  </conditionalFormatting>
  <conditionalFormatting sqref="D134:I134">
    <cfRule type="expression" dxfId="599" priority="755">
      <formula>$O134="NÃO INDICADO"</formula>
    </cfRule>
  </conditionalFormatting>
  <conditionalFormatting sqref="A137:B137">
    <cfRule type="expression" dxfId="598" priority="749">
      <formula>$O137="NÃO INDICADO"</formula>
    </cfRule>
  </conditionalFormatting>
  <conditionalFormatting sqref="A138:C138 I138 K138:M138">
    <cfRule type="expression" dxfId="597" priority="748">
      <formula>$N138="LEVANTADO"</formula>
    </cfRule>
  </conditionalFormatting>
  <conditionalFormatting sqref="A138:C138 I138 K138:O138">
    <cfRule type="expression" dxfId="596" priority="747">
      <formula>$O138="NÃO INDICADO"</formula>
    </cfRule>
  </conditionalFormatting>
  <conditionalFormatting sqref="D138:I138">
    <cfRule type="expression" dxfId="595" priority="746">
      <formula>$N138="LEVANTADO"</formula>
    </cfRule>
  </conditionalFormatting>
  <conditionalFormatting sqref="D138:I138">
    <cfRule type="expression" dxfId="594" priority="745">
      <formula>$O138="NÃO INDICADO"</formula>
    </cfRule>
  </conditionalFormatting>
  <conditionalFormatting sqref="A135:B135">
    <cfRule type="expression" dxfId="593" priority="739">
      <formula>$O135="NÃO INDICADO"</formula>
    </cfRule>
  </conditionalFormatting>
  <conditionalFormatting sqref="A136:C136 I136 K136:M136">
    <cfRule type="expression" dxfId="592" priority="738">
      <formula>$N136="LEVANTADO"</formula>
    </cfRule>
  </conditionalFormatting>
  <conditionalFormatting sqref="A136:C136 I136 K136:O136">
    <cfRule type="expression" dxfId="591" priority="737">
      <formula>$O136="NÃO INDICADO"</formula>
    </cfRule>
  </conditionalFormatting>
  <conditionalFormatting sqref="D136:I136">
    <cfRule type="expression" dxfId="590" priority="736">
      <formula>$N136="LEVANTADO"</formula>
    </cfRule>
  </conditionalFormatting>
  <conditionalFormatting sqref="A136:B136">
    <cfRule type="expression" dxfId="589" priority="734">
      <formula>$O136="NÃO INDICADO"</formula>
    </cfRule>
  </conditionalFormatting>
  <conditionalFormatting sqref="A140:C140 I140 K140:M140">
    <cfRule type="expression" dxfId="588" priority="733">
      <formula>$N140="LEVANTADO"</formula>
    </cfRule>
  </conditionalFormatting>
  <conditionalFormatting sqref="I140 A140:C140 K140:O140">
    <cfRule type="expression" dxfId="587" priority="732">
      <formula>$O140="NÃO INDICADO"</formula>
    </cfRule>
  </conditionalFormatting>
  <conditionalFormatting sqref="D140:I140">
    <cfRule type="expression" dxfId="586" priority="731">
      <formula>$N140="LEVANTADO"</formula>
    </cfRule>
  </conditionalFormatting>
  <conditionalFormatting sqref="D140:I140">
    <cfRule type="expression" dxfId="585" priority="730">
      <formula>$O140="NÃO INDICADO"</formula>
    </cfRule>
  </conditionalFormatting>
  <conditionalFormatting sqref="A141:C141 I141 K141:M141">
    <cfRule type="expression" dxfId="584" priority="728">
      <formula>$N141="LEVANTADO"</formula>
    </cfRule>
  </conditionalFormatting>
  <conditionalFormatting sqref="I141 A141:C141 K141:O141">
    <cfRule type="expression" dxfId="583" priority="727">
      <formula>$O141="NÃO INDICADO"</formula>
    </cfRule>
  </conditionalFormatting>
  <conditionalFormatting sqref="D141:I141">
    <cfRule type="expression" dxfId="582" priority="726">
      <formula>$N141="LEVANTADO"</formula>
    </cfRule>
  </conditionalFormatting>
  <conditionalFormatting sqref="D141:I141">
    <cfRule type="expression" dxfId="581" priority="725">
      <formula>$O141="NÃO INDICADO"</formula>
    </cfRule>
  </conditionalFormatting>
  <conditionalFormatting sqref="J134:J138">
    <cfRule type="expression" dxfId="580" priority="723">
      <formula>$N134="LEVANTADO"</formula>
    </cfRule>
  </conditionalFormatting>
  <conditionalFormatting sqref="J134:J138">
    <cfRule type="expression" dxfId="579" priority="722">
      <formula>$O134="NÃO INDICADO"</formula>
    </cfRule>
  </conditionalFormatting>
  <conditionalFormatting sqref="J140:J141">
    <cfRule type="expression" dxfId="578" priority="721">
      <formula>$N140="LEVANTADO"</formula>
    </cfRule>
  </conditionalFormatting>
  <conditionalFormatting sqref="J140:J141">
    <cfRule type="expression" dxfId="577" priority="720">
      <formula>$O140="NÃO INDICADO"</formula>
    </cfRule>
  </conditionalFormatting>
  <conditionalFormatting sqref="K103:O103 A103:C103">
    <cfRule type="expression" dxfId="576" priority="698">
      <formula>$O103="NÃO INDICADO"</formula>
    </cfRule>
  </conditionalFormatting>
  <conditionalFormatting sqref="A98:C99 K98:M99 K96:M96 A96:C96 A97:B97 I96:J99">
    <cfRule type="expression" dxfId="575" priority="716">
      <formula>$N96="LEVANTADO"</formula>
    </cfRule>
  </conditionalFormatting>
  <conditionalFormatting sqref="K98:O99 A98:C99 K96:O96 A96:C96 I96:J99">
    <cfRule type="expression" dxfId="574" priority="715">
      <formula>$O96="NÃO INDICADO"</formula>
    </cfRule>
  </conditionalFormatting>
  <conditionalFormatting sqref="D96:J96 D98:J99 J96:J99">
    <cfRule type="expression" dxfId="573" priority="714">
      <formula>$N96="LEVANTADO"</formula>
    </cfRule>
  </conditionalFormatting>
  <conditionalFormatting sqref="D96:J96 D98:J99 J96:J99">
    <cfRule type="expression" dxfId="572" priority="713">
      <formula>$O96="NÃO INDICADO"</formula>
    </cfRule>
  </conditionalFormatting>
  <conditionalFormatting sqref="A96:B99">
    <cfRule type="expression" dxfId="571" priority="712">
      <formula>$O96="NÃO INDICADO"</formula>
    </cfRule>
  </conditionalFormatting>
  <conditionalFormatting sqref="K97:M97 A97:C97">
    <cfRule type="expression" dxfId="570" priority="711">
      <formula>$N97="LEVANTADO"</formula>
    </cfRule>
  </conditionalFormatting>
  <conditionalFormatting sqref="A97:C97 K97:O97">
    <cfRule type="expression" dxfId="569" priority="710">
      <formula>$O97="NÃO INDICADO"</formula>
    </cfRule>
  </conditionalFormatting>
  <conditionalFormatting sqref="D97:J97">
    <cfRule type="expression" dxfId="568" priority="709">
      <formula>$N97="LEVANTADO"</formula>
    </cfRule>
  </conditionalFormatting>
  <conditionalFormatting sqref="D97:J97">
    <cfRule type="expression" dxfId="567" priority="708">
      <formula>$O97="NÃO INDICADO"</formula>
    </cfRule>
  </conditionalFormatting>
  <conditionalFormatting sqref="A91:C91 I91:M91 A85:M90 J85:J91">
    <cfRule type="expression" dxfId="566" priority="707">
      <formula>$N85="LEVANTADO"</formula>
    </cfRule>
  </conditionalFormatting>
  <conditionalFormatting sqref="A91:C91 I91:O91 A85:O90 J85:J91">
    <cfRule type="expression" dxfId="565" priority="706">
      <formula>$O85="NÃO INDICADO"</formula>
    </cfRule>
  </conditionalFormatting>
  <conditionalFormatting sqref="A85:B91">
    <cfRule type="expression" dxfId="564" priority="705">
      <formula>$O85="NÃO INDICADO"</formula>
    </cfRule>
  </conditionalFormatting>
  <conditionalFormatting sqref="D91:J91">
    <cfRule type="expression" dxfId="563" priority="704">
      <formula>$N91="LEVANTADO"</formula>
    </cfRule>
  </conditionalFormatting>
  <conditionalFormatting sqref="D91:J91">
    <cfRule type="expression" dxfId="562" priority="703">
      <formula>$O91="NÃO INDICADO"</formula>
    </cfRule>
  </conditionalFormatting>
  <conditionalFormatting sqref="K104:M104 A104:C104 A105:B106 A103:B103 I103:J106">
    <cfRule type="expression" dxfId="561" priority="702">
      <formula>$N103="LEVANTADO"</formula>
    </cfRule>
  </conditionalFormatting>
  <conditionalFormatting sqref="A104:C104 K104:O104 I103:J106">
    <cfRule type="expression" dxfId="560" priority="701">
      <formula>$O103="NÃO INDICADO"</formula>
    </cfRule>
  </conditionalFormatting>
  <conditionalFormatting sqref="A103:B106">
    <cfRule type="expression" dxfId="559" priority="700">
      <formula>$O103="NÃO INDICADO"</formula>
    </cfRule>
  </conditionalFormatting>
  <conditionalFormatting sqref="A103:C103 K103:M103">
    <cfRule type="expression" dxfId="558" priority="699">
      <formula>$N103="LEVANTADO"</formula>
    </cfRule>
  </conditionalFormatting>
  <conditionalFormatting sqref="D103:J103 J103:J106">
    <cfRule type="expression" dxfId="557" priority="697">
      <formula>$N103="LEVANTADO"</formula>
    </cfRule>
  </conditionalFormatting>
  <conditionalFormatting sqref="D103:J103 J103:J106">
    <cfRule type="expression" dxfId="556" priority="696">
      <formula>$O103="NÃO INDICADO"</formula>
    </cfRule>
  </conditionalFormatting>
  <conditionalFormatting sqref="D104:J104">
    <cfRule type="expression" dxfId="555" priority="695">
      <formula>$N104="LEVANTADO"</formula>
    </cfRule>
  </conditionalFormatting>
  <conditionalFormatting sqref="D104:J104">
    <cfRule type="expression" dxfId="554" priority="694">
      <formula>$O104="NÃO INDICADO"</formula>
    </cfRule>
  </conditionalFormatting>
  <conditionalFormatting sqref="K105:M105 A105:C105">
    <cfRule type="expression" dxfId="553" priority="693">
      <formula>$N105="LEVANTADO"</formula>
    </cfRule>
  </conditionalFormatting>
  <conditionalFormatting sqref="A105:C105 K105:O105">
    <cfRule type="expression" dxfId="552" priority="692">
      <formula>$O105="NÃO INDICADO"</formula>
    </cfRule>
  </conditionalFormatting>
  <conditionalFormatting sqref="D105:J105">
    <cfRule type="expression" dxfId="551" priority="691">
      <formula>$N105="LEVANTADO"</formula>
    </cfRule>
  </conditionalFormatting>
  <conditionalFormatting sqref="D105:J105">
    <cfRule type="expression" dxfId="550" priority="690">
      <formula>$O105="NÃO INDICADO"</formula>
    </cfRule>
  </conditionalFormatting>
  <conditionalFormatting sqref="A106:C106 K106:M106">
    <cfRule type="expression" dxfId="549" priority="689">
      <formula>$N106="LEVANTADO"</formula>
    </cfRule>
  </conditionalFormatting>
  <conditionalFormatting sqref="K106:O106 A106:C106">
    <cfRule type="expression" dxfId="548" priority="688">
      <formula>$O106="NÃO INDICADO"</formula>
    </cfRule>
  </conditionalFormatting>
  <conditionalFormatting sqref="D106:J106">
    <cfRule type="expression" dxfId="547" priority="687">
      <formula>$N106="LEVANTADO"</formula>
    </cfRule>
  </conditionalFormatting>
  <conditionalFormatting sqref="D106:J106">
    <cfRule type="expression" dxfId="546" priority="686">
      <formula>$O106="NÃO INDICADO"</formula>
    </cfRule>
  </conditionalFormatting>
  <conditionalFormatting sqref="A50:B50">
    <cfRule type="expression" dxfId="545" priority="683">
      <formula>$O50="NÃO INDICADO"</formula>
    </cfRule>
  </conditionalFormatting>
  <conditionalFormatting sqref="A50:M50">
    <cfRule type="expression" dxfId="544" priority="685">
      <formula>$N50="LEVANTADO"</formula>
    </cfRule>
  </conditionalFormatting>
  <conditionalFormatting sqref="D50:J50">
    <cfRule type="expression" dxfId="543" priority="684">
      <formula>$O50="NÃO INDICADO"</formula>
    </cfRule>
  </conditionalFormatting>
  <conditionalFormatting sqref="A52:B52">
    <cfRule type="expression" dxfId="542" priority="680">
      <formula>$O52="NÃO INDICADO"</formula>
    </cfRule>
  </conditionalFormatting>
  <conditionalFormatting sqref="A52:F52 H52:I52 K52:M52">
    <cfRule type="expression" dxfId="541" priority="682">
      <formula>$N52="LEVANTADO"</formula>
    </cfRule>
  </conditionalFormatting>
  <conditionalFormatting sqref="D52:F52 H52:I52">
    <cfRule type="expression" dxfId="540" priority="681">
      <formula>$O52="NÃO INDICADO"</formula>
    </cfRule>
  </conditionalFormatting>
  <conditionalFormatting sqref="G52">
    <cfRule type="expression" dxfId="539" priority="679">
      <formula>$N52="LEVANTADO"</formula>
    </cfRule>
  </conditionalFormatting>
  <conditionalFormatting sqref="G52">
    <cfRule type="expression" dxfId="538" priority="678">
      <formula>$O52="NÃO INDICADO"</formula>
    </cfRule>
  </conditionalFormatting>
  <conditionalFormatting sqref="A54:B54">
    <cfRule type="expression" dxfId="537" priority="675">
      <formula>$O54="NÃO INDICADO"</formula>
    </cfRule>
  </conditionalFormatting>
  <conditionalFormatting sqref="A54:C54 E54:F54 H54:I54 K54:M54">
    <cfRule type="expression" dxfId="536" priority="677">
      <formula>$N54="LEVANTADO"</formula>
    </cfRule>
  </conditionalFormatting>
  <conditionalFormatting sqref="A54:C54 E54:F54 H54:I54 K54:O54">
    <cfRule type="expression" dxfId="535" priority="676">
      <formula>$O54="NÃO INDICADO"</formula>
    </cfRule>
  </conditionalFormatting>
  <conditionalFormatting sqref="D54">
    <cfRule type="expression" dxfId="534" priority="674">
      <formula>$N54="LEVANTADO"</formula>
    </cfRule>
  </conditionalFormatting>
  <conditionalFormatting sqref="D54">
    <cfRule type="expression" dxfId="533" priority="673">
      <formula>$O54="NÃO INDICADO"</formula>
    </cfRule>
  </conditionalFormatting>
  <conditionalFormatting sqref="G54">
    <cfRule type="expression" dxfId="532" priority="672">
      <formula>$N54="LEVANTADO"</formula>
    </cfRule>
  </conditionalFormatting>
  <conditionalFormatting sqref="G54">
    <cfRule type="expression" dxfId="531" priority="671">
      <formula>$O54="NÃO INDICADO"</formula>
    </cfRule>
  </conditionalFormatting>
  <conditionalFormatting sqref="A56:B56">
    <cfRule type="expression" dxfId="530" priority="668">
      <formula>$O56="NÃO INDICADO"</formula>
    </cfRule>
  </conditionalFormatting>
  <conditionalFormatting sqref="A56:C56 E56:F56 H56:I56 K56:M56">
    <cfRule type="expression" dxfId="529" priority="670">
      <formula>$N56="LEVANTADO"</formula>
    </cfRule>
  </conditionalFormatting>
  <conditionalFormatting sqref="A56:C56 E56:F56 H56:I56 K56:O56">
    <cfRule type="expression" dxfId="528" priority="669">
      <formula>$O56="NÃO INDICADO"</formula>
    </cfRule>
  </conditionalFormatting>
  <conditionalFormatting sqref="D55">
    <cfRule type="expression" dxfId="527" priority="667">
      <formula>$N55="LEVANTADO"</formula>
    </cfRule>
  </conditionalFormatting>
  <conditionalFormatting sqref="D55">
    <cfRule type="expression" dxfId="526" priority="666">
      <formula>$O55="NÃO INDICADO"</formula>
    </cfRule>
  </conditionalFormatting>
  <conditionalFormatting sqref="D56">
    <cfRule type="expression" dxfId="525" priority="665">
      <formula>$N56="LEVANTADO"</formula>
    </cfRule>
  </conditionalFormatting>
  <conditionalFormatting sqref="D56">
    <cfRule type="expression" dxfId="524" priority="664">
      <formula>$O56="NÃO INDICADO"</formula>
    </cfRule>
  </conditionalFormatting>
  <conditionalFormatting sqref="G56">
    <cfRule type="expression" dxfId="523" priority="663">
      <formula>$N56="LEVANTADO"</formula>
    </cfRule>
  </conditionalFormatting>
  <conditionalFormatting sqref="G56">
    <cfRule type="expression" dxfId="522" priority="662">
      <formula>$O56="NÃO INDICADO"</formula>
    </cfRule>
  </conditionalFormatting>
  <conditionalFormatting sqref="A58:B58">
    <cfRule type="expression" dxfId="521" priority="659">
      <formula>$O58="NÃO INDICADO"</formula>
    </cfRule>
  </conditionalFormatting>
  <conditionalFormatting sqref="A58:C58 E58:F58 H58:I58 K58:M58">
    <cfRule type="expression" dxfId="520" priority="661">
      <formula>$N58="LEVANTADO"</formula>
    </cfRule>
  </conditionalFormatting>
  <conditionalFormatting sqref="A58:C58 E58:F58 H58:I58 K58:O58">
    <cfRule type="expression" dxfId="519" priority="660">
      <formula>$O58="NÃO INDICADO"</formula>
    </cfRule>
  </conditionalFormatting>
  <conditionalFormatting sqref="D57">
    <cfRule type="expression" dxfId="518" priority="658">
      <formula>$N57="LEVANTADO"</formula>
    </cfRule>
  </conditionalFormatting>
  <conditionalFormatting sqref="D57">
    <cfRule type="expression" dxfId="517" priority="657">
      <formula>$O57="NÃO INDICADO"</formula>
    </cfRule>
  </conditionalFormatting>
  <conditionalFormatting sqref="D58">
    <cfRule type="expression" dxfId="516" priority="656">
      <formula>$N58="LEVANTADO"</formula>
    </cfRule>
  </conditionalFormatting>
  <conditionalFormatting sqref="D58">
    <cfRule type="expression" dxfId="515" priority="655">
      <formula>$O58="NÃO INDICADO"</formula>
    </cfRule>
  </conditionalFormatting>
  <conditionalFormatting sqref="A60:B60">
    <cfRule type="expression" dxfId="514" priority="652">
      <formula>$O60="NÃO INDICADO"</formula>
    </cfRule>
  </conditionalFormatting>
  <conditionalFormatting sqref="A60:C60 E60:F60 H60:I60 K60:M60">
    <cfRule type="expression" dxfId="513" priority="654">
      <formula>$N60="LEVANTADO"</formula>
    </cfRule>
  </conditionalFormatting>
  <conditionalFormatting sqref="A60:C60 E60:F60 H60:I60 K60:O60">
    <cfRule type="expression" dxfId="512" priority="653">
      <formula>$O60="NÃO INDICADO"</formula>
    </cfRule>
  </conditionalFormatting>
  <conditionalFormatting sqref="D59">
    <cfRule type="expression" dxfId="511" priority="651">
      <formula>$N59="LEVANTADO"</formula>
    </cfRule>
  </conditionalFormatting>
  <conditionalFormatting sqref="D59">
    <cfRule type="expression" dxfId="510" priority="650">
      <formula>$O59="NÃO INDICADO"</formula>
    </cfRule>
  </conditionalFormatting>
  <conditionalFormatting sqref="D60">
    <cfRule type="expression" dxfId="509" priority="649">
      <formula>$N60="LEVANTADO"</formula>
    </cfRule>
  </conditionalFormatting>
  <conditionalFormatting sqref="D60">
    <cfRule type="expression" dxfId="508" priority="648">
      <formula>$O60="NÃO INDICADO"</formula>
    </cfRule>
  </conditionalFormatting>
  <conditionalFormatting sqref="G58">
    <cfRule type="expression" dxfId="507" priority="647">
      <formula>$N58="LEVANTADO"</formula>
    </cfRule>
  </conditionalFormatting>
  <conditionalFormatting sqref="G58">
    <cfRule type="expression" dxfId="506" priority="646">
      <formula>$O58="NÃO INDICADO"</formula>
    </cfRule>
  </conditionalFormatting>
  <conditionalFormatting sqref="G60">
    <cfRule type="expression" dxfId="505" priority="645">
      <formula>$N60="LEVANTADO"</formula>
    </cfRule>
  </conditionalFormatting>
  <conditionalFormatting sqref="G60">
    <cfRule type="expression" dxfId="504" priority="644">
      <formula>$O60="NÃO INDICADO"</formula>
    </cfRule>
  </conditionalFormatting>
  <conditionalFormatting sqref="A62:B62">
    <cfRule type="expression" dxfId="503" priority="641">
      <formula>$O62="NÃO INDICADO"</formula>
    </cfRule>
  </conditionalFormatting>
  <conditionalFormatting sqref="A62:C62 E62:F62 H62:I62 K62:M62">
    <cfRule type="expression" dxfId="502" priority="643">
      <formula>$N62="LEVANTADO"</formula>
    </cfRule>
  </conditionalFormatting>
  <conditionalFormatting sqref="A62:C62 E62:F62 H62:I62 K62:O62">
    <cfRule type="expression" dxfId="501" priority="642">
      <formula>$O62="NÃO INDICADO"</formula>
    </cfRule>
  </conditionalFormatting>
  <conditionalFormatting sqref="D61">
    <cfRule type="expression" dxfId="500" priority="640">
      <formula>$N61="LEVANTADO"</formula>
    </cfRule>
  </conditionalFormatting>
  <conditionalFormatting sqref="D61">
    <cfRule type="expression" dxfId="499" priority="639">
      <formula>$O61="NÃO INDICADO"</formula>
    </cfRule>
  </conditionalFormatting>
  <conditionalFormatting sqref="D62">
    <cfRule type="expression" dxfId="498" priority="638">
      <formula>$N62="LEVANTADO"</formula>
    </cfRule>
  </conditionalFormatting>
  <conditionalFormatting sqref="D62">
    <cfRule type="expression" dxfId="497" priority="637">
      <formula>$O62="NÃO INDICADO"</formula>
    </cfRule>
  </conditionalFormatting>
  <conditionalFormatting sqref="G62">
    <cfRule type="expression" dxfId="496" priority="636">
      <formula>$N62="LEVANTADO"</formula>
    </cfRule>
  </conditionalFormatting>
  <conditionalFormatting sqref="G62">
    <cfRule type="expression" dxfId="495" priority="635">
      <formula>$O62="NÃO INDICADO"</formula>
    </cfRule>
  </conditionalFormatting>
  <conditionalFormatting sqref="A64:B64">
    <cfRule type="expression" dxfId="494" priority="632">
      <formula>$O64="NÃO INDICADO"</formula>
    </cfRule>
  </conditionalFormatting>
  <conditionalFormatting sqref="A64:C64 E64:F64 H64:I64 K64:M64">
    <cfRule type="expression" dxfId="493" priority="634">
      <formula>$N64="LEVANTADO"</formula>
    </cfRule>
  </conditionalFormatting>
  <conditionalFormatting sqref="A64:C64 E64:F64 H64:I64 K64:O64">
    <cfRule type="expression" dxfId="492" priority="633">
      <formula>$O64="NÃO INDICADO"</formula>
    </cfRule>
  </conditionalFormatting>
  <conditionalFormatting sqref="D63">
    <cfRule type="expression" dxfId="491" priority="631">
      <formula>$N63="LEVANTADO"</formula>
    </cfRule>
  </conditionalFormatting>
  <conditionalFormatting sqref="D63">
    <cfRule type="expression" dxfId="490" priority="630">
      <formula>$O63="NÃO INDICADO"</formula>
    </cfRule>
  </conditionalFormatting>
  <conditionalFormatting sqref="D64">
    <cfRule type="expression" dxfId="489" priority="629">
      <formula>$N64="LEVANTADO"</formula>
    </cfRule>
  </conditionalFormatting>
  <conditionalFormatting sqref="D64">
    <cfRule type="expression" dxfId="488" priority="628">
      <formula>$O64="NÃO INDICADO"</formula>
    </cfRule>
  </conditionalFormatting>
  <conditionalFormatting sqref="G64">
    <cfRule type="expression" dxfId="487" priority="627">
      <formula>$N64="LEVANTADO"</formula>
    </cfRule>
  </conditionalFormatting>
  <conditionalFormatting sqref="G64">
    <cfRule type="expression" dxfId="486" priority="626">
      <formula>$O64="NÃO INDICADO"</formula>
    </cfRule>
  </conditionalFormatting>
  <conditionalFormatting sqref="A66:B66">
    <cfRule type="expression" dxfId="485" priority="623">
      <formula>$O66="NÃO INDICADO"</formula>
    </cfRule>
  </conditionalFormatting>
  <conditionalFormatting sqref="A66:C66 E66:F66 H66:I66 K66:M66">
    <cfRule type="expression" dxfId="484" priority="625">
      <formula>$N66="LEVANTADO"</formula>
    </cfRule>
  </conditionalFormatting>
  <conditionalFormatting sqref="A66:C66 E66:F66 H66:I66 K66:O66">
    <cfRule type="expression" dxfId="483" priority="624">
      <formula>$O66="NÃO INDICADO"</formula>
    </cfRule>
  </conditionalFormatting>
  <conditionalFormatting sqref="D65">
    <cfRule type="expression" dxfId="482" priority="622">
      <formula>$N65="LEVANTADO"</formula>
    </cfRule>
  </conditionalFormatting>
  <conditionalFormatting sqref="D65">
    <cfRule type="expression" dxfId="481" priority="621">
      <formula>$O65="NÃO INDICADO"</formula>
    </cfRule>
  </conditionalFormatting>
  <conditionalFormatting sqref="D66">
    <cfRule type="expression" dxfId="480" priority="620">
      <formula>$N66="LEVANTADO"</formula>
    </cfRule>
  </conditionalFormatting>
  <conditionalFormatting sqref="D66">
    <cfRule type="expression" dxfId="479" priority="619">
      <formula>$O66="NÃO INDICADO"</formula>
    </cfRule>
  </conditionalFormatting>
  <conditionalFormatting sqref="G66">
    <cfRule type="expression" dxfId="478" priority="618">
      <formula>$N66="LEVANTADO"</formula>
    </cfRule>
  </conditionalFormatting>
  <conditionalFormatting sqref="G66">
    <cfRule type="expression" dxfId="477" priority="617">
      <formula>$O66="NÃO INDICADO"</formula>
    </cfRule>
  </conditionalFormatting>
  <conditionalFormatting sqref="A68:B68">
    <cfRule type="expression" dxfId="476" priority="614">
      <formula>$O68="NÃO INDICADO"</formula>
    </cfRule>
  </conditionalFormatting>
  <conditionalFormatting sqref="A68:C68 H68:I68 E68:F68 K68:M68">
    <cfRule type="expression" dxfId="475" priority="616">
      <formula>$N68="LEVANTADO"</formula>
    </cfRule>
  </conditionalFormatting>
  <conditionalFormatting sqref="A68:C68 H68:I68 E68:F68 K68:O68">
    <cfRule type="expression" dxfId="474" priority="615">
      <formula>$O68="NÃO INDICADO"</formula>
    </cfRule>
  </conditionalFormatting>
  <conditionalFormatting sqref="G68">
    <cfRule type="expression" dxfId="473" priority="613">
      <formula>$N68="LEVANTADO"</formula>
    </cfRule>
  </conditionalFormatting>
  <conditionalFormatting sqref="G68">
    <cfRule type="expression" dxfId="472" priority="612">
      <formula>$O68="NÃO INDICADO"</formula>
    </cfRule>
  </conditionalFormatting>
  <conditionalFormatting sqref="D67">
    <cfRule type="expression" dxfId="471" priority="611">
      <formula>$N67="LEVANTADO"</formula>
    </cfRule>
  </conditionalFormatting>
  <conditionalFormatting sqref="D67">
    <cfRule type="expression" dxfId="470" priority="610">
      <formula>$O67="NÃO INDICADO"</formula>
    </cfRule>
  </conditionalFormatting>
  <conditionalFormatting sqref="D68">
    <cfRule type="expression" dxfId="469" priority="609">
      <formula>$N68="LEVANTADO"</formula>
    </cfRule>
  </conditionalFormatting>
  <conditionalFormatting sqref="D68">
    <cfRule type="expression" dxfId="468" priority="608">
      <formula>$O68="NÃO INDICADO"</formula>
    </cfRule>
  </conditionalFormatting>
  <conditionalFormatting sqref="A70:B70">
    <cfRule type="expression" dxfId="467" priority="605">
      <formula>$O70="NÃO INDICADO"</formula>
    </cfRule>
  </conditionalFormatting>
  <conditionalFormatting sqref="A70:C70 H70:I70 E70:F70 K70:M70">
    <cfRule type="expression" dxfId="466" priority="607">
      <formula>$N70="LEVANTADO"</formula>
    </cfRule>
  </conditionalFormatting>
  <conditionalFormatting sqref="A70:C70 H70:I70 E70:F70 K70:O70">
    <cfRule type="expression" dxfId="465" priority="606">
      <formula>$O70="NÃO INDICADO"</formula>
    </cfRule>
  </conditionalFormatting>
  <conditionalFormatting sqref="G70">
    <cfRule type="expression" dxfId="464" priority="604">
      <formula>$N70="LEVANTADO"</formula>
    </cfRule>
  </conditionalFormatting>
  <conditionalFormatting sqref="G70">
    <cfRule type="expression" dxfId="463" priority="603">
      <formula>$O70="NÃO INDICADO"</formula>
    </cfRule>
  </conditionalFormatting>
  <conditionalFormatting sqref="D69">
    <cfRule type="expression" dxfId="462" priority="602">
      <formula>$N69="LEVANTADO"</formula>
    </cfRule>
  </conditionalFormatting>
  <conditionalFormatting sqref="D69">
    <cfRule type="expression" dxfId="461" priority="601">
      <formula>$O69="NÃO INDICADO"</formula>
    </cfRule>
  </conditionalFormatting>
  <conditionalFormatting sqref="D70">
    <cfRule type="expression" dxfId="460" priority="600">
      <formula>$N70="LEVANTADO"</formula>
    </cfRule>
  </conditionalFormatting>
  <conditionalFormatting sqref="D70">
    <cfRule type="expression" dxfId="459" priority="599">
      <formula>$O70="NÃO INDICADO"</formula>
    </cfRule>
  </conditionalFormatting>
  <conditionalFormatting sqref="B72 I72">
    <cfRule type="expression" dxfId="458" priority="596">
      <formula>$N72="LEVANTADO"</formula>
    </cfRule>
  </conditionalFormatting>
  <conditionalFormatting sqref="I72">
    <cfRule type="expression" dxfId="457" priority="595">
      <formula>$O72="NÃO INDICADO"</formula>
    </cfRule>
  </conditionalFormatting>
  <conditionalFormatting sqref="A72:B72">
    <cfRule type="expression" dxfId="456" priority="590">
      <formula>$O72="NÃO INDICADO"</formula>
    </cfRule>
  </conditionalFormatting>
  <conditionalFormatting sqref="B72">
    <cfRule type="expression" dxfId="455" priority="594">
      <formula>$O72="NÃO INDICADO"</formula>
    </cfRule>
  </conditionalFormatting>
  <conditionalFormatting sqref="C72:H72 K72:M72">
    <cfRule type="expression" dxfId="454" priority="593">
      <formula>$N72="LEVANTADO"</formula>
    </cfRule>
  </conditionalFormatting>
  <conditionalFormatting sqref="C72:H72 K72:O72">
    <cfRule type="expression" dxfId="453" priority="592">
      <formula>$O72="NÃO INDICADO"</formula>
    </cfRule>
  </conditionalFormatting>
  <conditionalFormatting sqref="A72:B72">
    <cfRule type="expression" dxfId="452" priority="591">
      <formula>$N72="LEVANTADO"</formula>
    </cfRule>
  </conditionalFormatting>
  <conditionalFormatting sqref="A72:B72">
    <cfRule type="expression" dxfId="451" priority="589">
      <formula>$O72="NÃO INDICADO"</formula>
    </cfRule>
  </conditionalFormatting>
  <conditionalFormatting sqref="I72">
    <cfRule type="expression" dxfId="450" priority="588">
      <formula>$N72="LEVANTADO"</formula>
    </cfRule>
  </conditionalFormatting>
  <conditionalFormatting sqref="I72">
    <cfRule type="expression" dxfId="449" priority="587">
      <formula>$O72="NÃO INDICADO"</formula>
    </cfRule>
  </conditionalFormatting>
  <conditionalFormatting sqref="B73 I73">
    <cfRule type="expression" dxfId="448" priority="584">
      <formula>$N73="LEVANTADO"</formula>
    </cfRule>
  </conditionalFormatting>
  <conditionalFormatting sqref="I73">
    <cfRule type="expression" dxfId="447" priority="583">
      <formula>$O73="NÃO INDICADO"</formula>
    </cfRule>
  </conditionalFormatting>
  <conditionalFormatting sqref="A73:B73">
    <cfRule type="expression" dxfId="446" priority="578">
      <formula>$O73="NÃO INDICADO"</formula>
    </cfRule>
  </conditionalFormatting>
  <conditionalFormatting sqref="B73">
    <cfRule type="expression" dxfId="445" priority="582">
      <formula>$O73="NÃO INDICADO"</formula>
    </cfRule>
  </conditionalFormatting>
  <conditionalFormatting sqref="C73:H73 K73:M73">
    <cfRule type="expression" dxfId="444" priority="581">
      <formula>$N73="LEVANTADO"</formula>
    </cfRule>
  </conditionalFormatting>
  <conditionalFormatting sqref="C73:H73 K73:O73">
    <cfRule type="expression" dxfId="443" priority="580">
      <formula>$O73="NÃO INDICADO"</formula>
    </cfRule>
  </conditionalFormatting>
  <conditionalFormatting sqref="A73:B73">
    <cfRule type="expression" dxfId="442" priority="579">
      <formula>$N73="LEVANTADO"</formula>
    </cfRule>
  </conditionalFormatting>
  <conditionalFormatting sqref="A73:B73">
    <cfRule type="expression" dxfId="441" priority="577">
      <formula>$O73="NÃO INDICADO"</formula>
    </cfRule>
  </conditionalFormatting>
  <conditionalFormatting sqref="I73">
    <cfRule type="expression" dxfId="440" priority="576">
      <formula>$N73="LEVANTADO"</formula>
    </cfRule>
  </conditionalFormatting>
  <conditionalFormatting sqref="I73">
    <cfRule type="expression" dxfId="439" priority="575">
      <formula>$O73="NÃO INDICADO"</formula>
    </cfRule>
  </conditionalFormatting>
  <conditionalFormatting sqref="A145:B145">
    <cfRule type="expression" dxfId="438" priority="559">
      <formula>$O145="NÃO INDICADO"</formula>
    </cfRule>
  </conditionalFormatting>
  <conditionalFormatting sqref="A145:M145 J145:J157">
    <cfRule type="expression" dxfId="437" priority="561">
      <formula>$N145="LEVANTADO"</formula>
    </cfRule>
  </conditionalFormatting>
  <conditionalFormatting sqref="D145:J145 J145:J157">
    <cfRule type="expression" dxfId="436" priority="560">
      <formula>$O145="NÃO INDICADO"</formula>
    </cfRule>
  </conditionalFormatting>
  <conditionalFormatting sqref="A146:B146">
    <cfRule type="expression" dxfId="435" priority="556">
      <formula>$O146="NÃO INDICADO"</formula>
    </cfRule>
  </conditionalFormatting>
  <conditionalFormatting sqref="A146:F146 H146:M146">
    <cfRule type="expression" dxfId="434" priority="558">
      <formula>$N146="LEVANTADO"</formula>
    </cfRule>
  </conditionalFormatting>
  <conditionalFormatting sqref="D146:F146 H146:J146">
    <cfRule type="expression" dxfId="433" priority="557">
      <formula>$O146="NÃO INDICADO"</formula>
    </cfRule>
  </conditionalFormatting>
  <conditionalFormatting sqref="G146">
    <cfRule type="expression" dxfId="432" priority="555">
      <formula>$N146="LEVANTADO"</formula>
    </cfRule>
  </conditionalFormatting>
  <conditionalFormatting sqref="G146">
    <cfRule type="expression" dxfId="431" priority="554">
      <formula>$O146="NÃO INDICADO"</formula>
    </cfRule>
  </conditionalFormatting>
  <conditionalFormatting sqref="A147:B147">
    <cfRule type="expression" dxfId="430" priority="551">
      <formula>$O147="NÃO INDICADO"</formula>
    </cfRule>
  </conditionalFormatting>
  <conditionalFormatting sqref="A147:C147 E147:F147 H147:M147">
    <cfRule type="expression" dxfId="429" priority="553">
      <formula>$N147="LEVANTADO"</formula>
    </cfRule>
  </conditionalFormatting>
  <conditionalFormatting sqref="A147:C147 E147:F147 H147:O147">
    <cfRule type="expression" dxfId="428" priority="552">
      <formula>$O147="NÃO INDICADO"</formula>
    </cfRule>
  </conditionalFormatting>
  <conditionalFormatting sqref="D147">
    <cfRule type="expression" dxfId="427" priority="550">
      <formula>$N147="LEVANTADO"</formula>
    </cfRule>
  </conditionalFormatting>
  <conditionalFormatting sqref="D147">
    <cfRule type="expression" dxfId="426" priority="549">
      <formula>$O147="NÃO INDICADO"</formula>
    </cfRule>
  </conditionalFormatting>
  <conditionalFormatting sqref="G147">
    <cfRule type="expression" dxfId="425" priority="548">
      <formula>$N147="LEVANTADO"</formula>
    </cfRule>
  </conditionalFormatting>
  <conditionalFormatting sqref="G147">
    <cfRule type="expression" dxfId="424" priority="547">
      <formula>$O147="NÃO INDICADO"</formula>
    </cfRule>
  </conditionalFormatting>
  <conditionalFormatting sqref="A148:B148">
    <cfRule type="expression" dxfId="423" priority="544">
      <formula>$O148="NÃO INDICADO"</formula>
    </cfRule>
  </conditionalFormatting>
  <conditionalFormatting sqref="A148:C148 E148:F148 H148:M148">
    <cfRule type="expression" dxfId="422" priority="546">
      <formula>$N148="LEVANTADO"</formula>
    </cfRule>
  </conditionalFormatting>
  <conditionalFormatting sqref="A148:C148 E148:F148 H148:O148">
    <cfRule type="expression" dxfId="421" priority="545">
      <formula>$O148="NÃO INDICADO"</formula>
    </cfRule>
  </conditionalFormatting>
  <conditionalFormatting sqref="D148">
    <cfRule type="expression" dxfId="420" priority="541">
      <formula>$N148="LEVANTADO"</formula>
    </cfRule>
  </conditionalFormatting>
  <conditionalFormatting sqref="D148">
    <cfRule type="expression" dxfId="419" priority="540">
      <formula>$O148="NÃO INDICADO"</formula>
    </cfRule>
  </conditionalFormatting>
  <conditionalFormatting sqref="G148">
    <cfRule type="expression" dxfId="418" priority="539">
      <formula>$N148="LEVANTADO"</formula>
    </cfRule>
  </conditionalFormatting>
  <conditionalFormatting sqref="G148">
    <cfRule type="expression" dxfId="417" priority="538">
      <formula>$O148="NÃO INDICADO"</formula>
    </cfRule>
  </conditionalFormatting>
  <conditionalFormatting sqref="A149:B149">
    <cfRule type="expression" dxfId="416" priority="535">
      <formula>$O149="NÃO INDICADO"</formula>
    </cfRule>
  </conditionalFormatting>
  <conditionalFormatting sqref="A149:C149 E149:F149 H149:M149">
    <cfRule type="expression" dxfId="415" priority="537">
      <formula>$N149="LEVANTADO"</formula>
    </cfRule>
  </conditionalFormatting>
  <conditionalFormatting sqref="A149:C149 E149:F149 H149:O149">
    <cfRule type="expression" dxfId="414" priority="536">
      <formula>$O149="NÃO INDICADO"</formula>
    </cfRule>
  </conditionalFormatting>
  <conditionalFormatting sqref="D149">
    <cfRule type="expression" dxfId="413" priority="532">
      <formula>$N149="LEVANTADO"</formula>
    </cfRule>
  </conditionalFormatting>
  <conditionalFormatting sqref="D149">
    <cfRule type="expression" dxfId="412" priority="531">
      <formula>$O149="NÃO INDICADO"</formula>
    </cfRule>
  </conditionalFormatting>
  <conditionalFormatting sqref="A150:B150">
    <cfRule type="expression" dxfId="411" priority="528">
      <formula>$O150="NÃO INDICADO"</formula>
    </cfRule>
  </conditionalFormatting>
  <conditionalFormatting sqref="A150:C150 E150:F150 H150:M150">
    <cfRule type="expression" dxfId="410" priority="530">
      <formula>$N150="LEVANTADO"</formula>
    </cfRule>
  </conditionalFormatting>
  <conditionalFormatting sqref="A150:C150 E150:F150 H150:O150">
    <cfRule type="expression" dxfId="409" priority="529">
      <formula>$O150="NÃO INDICADO"</formula>
    </cfRule>
  </conditionalFormatting>
  <conditionalFormatting sqref="D150">
    <cfRule type="expression" dxfId="408" priority="525">
      <formula>$N150="LEVANTADO"</formula>
    </cfRule>
  </conditionalFormatting>
  <conditionalFormatting sqref="D150">
    <cfRule type="expression" dxfId="407" priority="524">
      <formula>$O150="NÃO INDICADO"</formula>
    </cfRule>
  </conditionalFormatting>
  <conditionalFormatting sqref="G149">
    <cfRule type="expression" dxfId="406" priority="523">
      <formula>$N149="LEVANTADO"</formula>
    </cfRule>
  </conditionalFormatting>
  <conditionalFormatting sqref="G149">
    <cfRule type="expression" dxfId="405" priority="522">
      <formula>$O149="NÃO INDICADO"</formula>
    </cfRule>
  </conditionalFormatting>
  <conditionalFormatting sqref="G150">
    <cfRule type="expression" dxfId="404" priority="521">
      <formula>$N150="LEVANTADO"</formula>
    </cfRule>
  </conditionalFormatting>
  <conditionalFormatting sqref="G150">
    <cfRule type="expression" dxfId="403" priority="520">
      <formula>$O150="NÃO INDICADO"</formula>
    </cfRule>
  </conditionalFormatting>
  <conditionalFormatting sqref="A151:B151">
    <cfRule type="expression" dxfId="402" priority="517">
      <formula>$O151="NÃO INDICADO"</formula>
    </cfRule>
  </conditionalFormatting>
  <conditionalFormatting sqref="A151:C151 E151:F151 H151:M151">
    <cfRule type="expression" dxfId="401" priority="519">
      <formula>$N151="LEVANTADO"</formula>
    </cfRule>
  </conditionalFormatting>
  <conditionalFormatting sqref="A151:C151 E151:F151 H151:O151">
    <cfRule type="expression" dxfId="400" priority="518">
      <formula>$O151="NÃO INDICADO"</formula>
    </cfRule>
  </conditionalFormatting>
  <conditionalFormatting sqref="D151">
    <cfRule type="expression" dxfId="399" priority="514">
      <formula>$N151="LEVANTADO"</formula>
    </cfRule>
  </conditionalFormatting>
  <conditionalFormatting sqref="D151">
    <cfRule type="expression" dxfId="398" priority="513">
      <formula>$O151="NÃO INDICADO"</formula>
    </cfRule>
  </conditionalFormatting>
  <conditionalFormatting sqref="G151">
    <cfRule type="expression" dxfId="397" priority="512">
      <formula>$N151="LEVANTADO"</formula>
    </cfRule>
  </conditionalFormatting>
  <conditionalFormatting sqref="G151">
    <cfRule type="expression" dxfId="396" priority="511">
      <formula>$O151="NÃO INDICADO"</formula>
    </cfRule>
  </conditionalFormatting>
  <conditionalFormatting sqref="A152:B152">
    <cfRule type="expression" dxfId="395" priority="508">
      <formula>$O152="NÃO INDICADO"</formula>
    </cfRule>
  </conditionalFormatting>
  <conditionalFormatting sqref="A152:C152 E152:F152 H152:M152">
    <cfRule type="expression" dxfId="394" priority="510">
      <formula>$N152="LEVANTADO"</formula>
    </cfRule>
  </conditionalFormatting>
  <conditionalFormatting sqref="A152:C152 E152:F152 H152:O152">
    <cfRule type="expression" dxfId="393" priority="509">
      <formula>$O152="NÃO INDICADO"</formula>
    </cfRule>
  </conditionalFormatting>
  <conditionalFormatting sqref="D152">
    <cfRule type="expression" dxfId="392" priority="505">
      <formula>$N152="LEVANTADO"</formula>
    </cfRule>
  </conditionalFormatting>
  <conditionalFormatting sqref="D152">
    <cfRule type="expression" dxfId="391" priority="504">
      <formula>$O152="NÃO INDICADO"</formula>
    </cfRule>
  </conditionalFormatting>
  <conditionalFormatting sqref="G152">
    <cfRule type="expression" dxfId="390" priority="503">
      <formula>$N152="LEVANTADO"</formula>
    </cfRule>
  </conditionalFormatting>
  <conditionalFormatting sqref="G152">
    <cfRule type="expression" dxfId="389" priority="502">
      <formula>$O152="NÃO INDICADO"</formula>
    </cfRule>
  </conditionalFormatting>
  <conditionalFormatting sqref="A153:B153">
    <cfRule type="expression" dxfId="388" priority="499">
      <formula>$O153="NÃO INDICADO"</formula>
    </cfRule>
  </conditionalFormatting>
  <conditionalFormatting sqref="A153:C153 E153:F153 H153:M153">
    <cfRule type="expression" dxfId="387" priority="501">
      <formula>$N153="LEVANTADO"</formula>
    </cfRule>
  </conditionalFormatting>
  <conditionalFormatting sqref="A153:C153 E153:F153 H153:O153">
    <cfRule type="expression" dxfId="386" priority="500">
      <formula>$O153="NÃO INDICADO"</formula>
    </cfRule>
  </conditionalFormatting>
  <conditionalFormatting sqref="D153">
    <cfRule type="expression" dxfId="385" priority="496">
      <formula>$N153="LEVANTADO"</formula>
    </cfRule>
  </conditionalFormatting>
  <conditionalFormatting sqref="D153">
    <cfRule type="expression" dxfId="384" priority="495">
      <formula>$O153="NÃO INDICADO"</formula>
    </cfRule>
  </conditionalFormatting>
  <conditionalFormatting sqref="G153">
    <cfRule type="expression" dxfId="383" priority="494">
      <formula>$N153="LEVANTADO"</formula>
    </cfRule>
  </conditionalFormatting>
  <conditionalFormatting sqref="G153">
    <cfRule type="expression" dxfId="382" priority="493">
      <formula>$O153="NÃO INDICADO"</formula>
    </cfRule>
  </conditionalFormatting>
  <conditionalFormatting sqref="A154:B154">
    <cfRule type="expression" dxfId="381" priority="490">
      <formula>$O154="NÃO INDICADO"</formula>
    </cfRule>
  </conditionalFormatting>
  <conditionalFormatting sqref="A154:C154 H154:M154 E154:F154">
    <cfRule type="expression" dxfId="380" priority="492">
      <formula>$N154="LEVANTADO"</formula>
    </cfRule>
  </conditionalFormatting>
  <conditionalFormatting sqref="A154:C154 H154:O154 E154:F154">
    <cfRule type="expression" dxfId="379" priority="491">
      <formula>$O154="NÃO INDICADO"</formula>
    </cfRule>
  </conditionalFormatting>
  <conditionalFormatting sqref="G154">
    <cfRule type="expression" dxfId="378" priority="489">
      <formula>$N154="LEVANTADO"</formula>
    </cfRule>
  </conditionalFormatting>
  <conditionalFormatting sqref="G154">
    <cfRule type="expression" dxfId="377" priority="488">
      <formula>$O154="NÃO INDICADO"</formula>
    </cfRule>
  </conditionalFormatting>
  <conditionalFormatting sqref="D154">
    <cfRule type="expression" dxfId="376" priority="485">
      <formula>$N154="LEVANTADO"</formula>
    </cfRule>
  </conditionalFormatting>
  <conditionalFormatting sqref="D154">
    <cfRule type="expression" dxfId="375" priority="484">
      <formula>$O154="NÃO INDICADO"</formula>
    </cfRule>
  </conditionalFormatting>
  <conditionalFormatting sqref="A155:B155">
    <cfRule type="expression" dxfId="374" priority="481">
      <formula>$O155="NÃO INDICADO"</formula>
    </cfRule>
  </conditionalFormatting>
  <conditionalFormatting sqref="A155:C155 H155:M155 E155:F155">
    <cfRule type="expression" dxfId="373" priority="483">
      <formula>$N155="LEVANTADO"</formula>
    </cfRule>
  </conditionalFormatting>
  <conditionalFormatting sqref="A155:C155 H155:O155 E155:F155">
    <cfRule type="expression" dxfId="372" priority="482">
      <formula>$O155="NÃO INDICADO"</formula>
    </cfRule>
  </conditionalFormatting>
  <conditionalFormatting sqref="G155">
    <cfRule type="expression" dxfId="371" priority="480">
      <formula>$N155="LEVANTADO"</formula>
    </cfRule>
  </conditionalFormatting>
  <conditionalFormatting sqref="G155">
    <cfRule type="expression" dxfId="370" priority="479">
      <formula>$O155="NÃO INDICADO"</formula>
    </cfRule>
  </conditionalFormatting>
  <conditionalFormatting sqref="D155">
    <cfRule type="expression" dxfId="369" priority="476">
      <formula>$N155="LEVANTADO"</formula>
    </cfRule>
  </conditionalFormatting>
  <conditionalFormatting sqref="D155">
    <cfRule type="expression" dxfId="368" priority="475">
      <formula>$O155="NÃO INDICADO"</formula>
    </cfRule>
  </conditionalFormatting>
  <conditionalFormatting sqref="B156 I156:J156">
    <cfRule type="expression" dxfId="367" priority="472">
      <formula>$N156="LEVANTADO"</formula>
    </cfRule>
  </conditionalFormatting>
  <conditionalFormatting sqref="I156:J156">
    <cfRule type="expression" dxfId="366" priority="471">
      <formula>$O156="NÃO INDICADO"</formula>
    </cfRule>
  </conditionalFormatting>
  <conditionalFormatting sqref="A156:B156">
    <cfRule type="expression" dxfId="365" priority="466">
      <formula>$O156="NÃO INDICADO"</formula>
    </cfRule>
  </conditionalFormatting>
  <conditionalFormatting sqref="B156">
    <cfRule type="expression" dxfId="364" priority="470">
      <formula>$O156="NÃO INDICADO"</formula>
    </cfRule>
  </conditionalFormatting>
  <conditionalFormatting sqref="C156:H156 J156:M156">
    <cfRule type="expression" dxfId="363" priority="469">
      <formula>$N156="LEVANTADO"</formula>
    </cfRule>
  </conditionalFormatting>
  <conditionalFormatting sqref="C156:H156 J156:O156">
    <cfRule type="expression" dxfId="362" priority="468">
      <formula>$O156="NÃO INDICADO"</formula>
    </cfRule>
  </conditionalFormatting>
  <conditionalFormatting sqref="A156:B156">
    <cfRule type="expression" dxfId="361" priority="467">
      <formula>$N156="LEVANTADO"</formula>
    </cfRule>
  </conditionalFormatting>
  <conditionalFormatting sqref="A156:B156">
    <cfRule type="expression" dxfId="360" priority="465">
      <formula>$O156="NÃO INDICADO"</formula>
    </cfRule>
  </conditionalFormatting>
  <conditionalFormatting sqref="I156">
    <cfRule type="expression" dxfId="359" priority="464">
      <formula>$N156="LEVANTADO"</formula>
    </cfRule>
  </conditionalFormatting>
  <conditionalFormatting sqref="I156">
    <cfRule type="expression" dxfId="358" priority="463">
      <formula>$O156="NÃO INDICADO"</formula>
    </cfRule>
  </conditionalFormatting>
  <conditionalFormatting sqref="J156">
    <cfRule type="expression" dxfId="357" priority="474">
      <formula>$N156="LEVANTADO"</formula>
    </cfRule>
  </conditionalFormatting>
  <conditionalFormatting sqref="J156">
    <cfRule type="expression" dxfId="356" priority="473">
      <formula>$O156="NÃO INDICADO"</formula>
    </cfRule>
  </conditionalFormatting>
  <conditionalFormatting sqref="B157 I157:J157">
    <cfRule type="expression" dxfId="355" priority="460">
      <formula>$N157="LEVANTADO"</formula>
    </cfRule>
  </conditionalFormatting>
  <conditionalFormatting sqref="I157:J157">
    <cfRule type="expression" dxfId="354" priority="459">
      <formula>$O157="NÃO INDICADO"</formula>
    </cfRule>
  </conditionalFormatting>
  <conditionalFormatting sqref="A157:B157">
    <cfRule type="expression" dxfId="353" priority="454">
      <formula>$O157="NÃO INDICADO"</formula>
    </cfRule>
  </conditionalFormatting>
  <conditionalFormatting sqref="B157">
    <cfRule type="expression" dxfId="352" priority="458">
      <formula>$O157="NÃO INDICADO"</formula>
    </cfRule>
  </conditionalFormatting>
  <conditionalFormatting sqref="C157:H157 J157:M157">
    <cfRule type="expression" dxfId="351" priority="457">
      <formula>$N157="LEVANTADO"</formula>
    </cfRule>
  </conditionalFormatting>
  <conditionalFormatting sqref="C157:H157 J157:O157">
    <cfRule type="expression" dxfId="350" priority="456">
      <formula>$O157="NÃO INDICADO"</formula>
    </cfRule>
  </conditionalFormatting>
  <conditionalFormatting sqref="A157:B157">
    <cfRule type="expression" dxfId="349" priority="455">
      <formula>$N157="LEVANTADO"</formula>
    </cfRule>
  </conditionalFormatting>
  <conditionalFormatting sqref="A157:B157">
    <cfRule type="expression" dxfId="348" priority="453">
      <formula>$O157="NÃO INDICADO"</formula>
    </cfRule>
  </conditionalFormatting>
  <conditionalFormatting sqref="I157">
    <cfRule type="expression" dxfId="347" priority="452">
      <formula>$N157="LEVANTADO"</formula>
    </cfRule>
  </conditionalFormatting>
  <conditionalFormatting sqref="I157">
    <cfRule type="expression" dxfId="346" priority="451">
      <formula>$O157="NÃO INDICADO"</formula>
    </cfRule>
  </conditionalFormatting>
  <conditionalFormatting sqref="J157">
    <cfRule type="expression" dxfId="345" priority="462">
      <formula>$N157="LEVANTADO"</formula>
    </cfRule>
  </conditionalFormatting>
  <conditionalFormatting sqref="J157">
    <cfRule type="expression" dxfId="344" priority="461">
      <formula>$O157="NÃO INDICADO"</formula>
    </cfRule>
  </conditionalFormatting>
  <conditionalFormatting sqref="A160:B160">
    <cfRule type="expression" dxfId="343" priority="448">
      <formula>$O160="NÃO INDICADO"</formula>
    </cfRule>
  </conditionalFormatting>
  <conditionalFormatting sqref="A160:G160 J161:J172 I160:M160 K160:K172">
    <cfRule type="expression" dxfId="342" priority="450">
      <formula>$N160="LEVANTADO"</formula>
    </cfRule>
  </conditionalFormatting>
  <conditionalFormatting sqref="D160:G160 J161:J172 I160:J160">
    <cfRule type="expression" dxfId="341" priority="449">
      <formula>$O160="NÃO INDICADO"</formula>
    </cfRule>
  </conditionalFormatting>
  <conditionalFormatting sqref="A161:B161">
    <cfRule type="expression" dxfId="340" priority="445">
      <formula>$O161="NÃO INDICADO"</formula>
    </cfRule>
  </conditionalFormatting>
  <conditionalFormatting sqref="A161:F161 I161:M161">
    <cfRule type="expression" dxfId="339" priority="447">
      <formula>$N161="LEVANTADO"</formula>
    </cfRule>
  </conditionalFormatting>
  <conditionalFormatting sqref="D161:F161 I161:J161">
    <cfRule type="expression" dxfId="338" priority="446">
      <formula>$O161="NÃO INDICADO"</formula>
    </cfRule>
  </conditionalFormatting>
  <conditionalFormatting sqref="G161">
    <cfRule type="expression" dxfId="337" priority="444">
      <formula>$N161="LEVANTADO"</formula>
    </cfRule>
  </conditionalFormatting>
  <conditionalFormatting sqref="G161">
    <cfRule type="expression" dxfId="336" priority="443">
      <formula>$O161="NÃO INDICADO"</formula>
    </cfRule>
  </conditionalFormatting>
  <conditionalFormatting sqref="A162:B162">
    <cfRule type="expression" dxfId="335" priority="440">
      <formula>$O162="NÃO INDICADO"</formula>
    </cfRule>
  </conditionalFormatting>
  <conditionalFormatting sqref="A162:C162 E162:F162 I162:M162">
    <cfRule type="expression" dxfId="334" priority="442">
      <formula>$N162="LEVANTADO"</formula>
    </cfRule>
  </conditionalFormatting>
  <conditionalFormatting sqref="A162:C162 E162:F162 I162:O162">
    <cfRule type="expression" dxfId="333" priority="441">
      <formula>$O162="NÃO INDICADO"</formula>
    </cfRule>
  </conditionalFormatting>
  <conditionalFormatting sqref="D162">
    <cfRule type="expression" dxfId="332" priority="439">
      <formula>$N162="LEVANTADO"</formula>
    </cfRule>
  </conditionalFormatting>
  <conditionalFormatting sqref="D162">
    <cfRule type="expression" dxfId="331" priority="438">
      <formula>$O162="NÃO INDICADO"</formula>
    </cfRule>
  </conditionalFormatting>
  <conditionalFormatting sqref="G162">
    <cfRule type="expression" dxfId="330" priority="437">
      <formula>$N162="LEVANTADO"</formula>
    </cfRule>
  </conditionalFormatting>
  <conditionalFormatting sqref="G162">
    <cfRule type="expression" dxfId="329" priority="436">
      <formula>$O162="NÃO INDICADO"</formula>
    </cfRule>
  </conditionalFormatting>
  <conditionalFormatting sqref="A163:B163">
    <cfRule type="expression" dxfId="328" priority="433">
      <formula>$O163="NÃO INDICADO"</formula>
    </cfRule>
  </conditionalFormatting>
  <conditionalFormatting sqref="A163:C163 E163:F163 I163:M163">
    <cfRule type="expression" dxfId="327" priority="435">
      <formula>$N163="LEVANTADO"</formula>
    </cfRule>
  </conditionalFormatting>
  <conditionalFormatting sqref="A163:C163 E163:F163 I163:O163">
    <cfRule type="expression" dxfId="326" priority="434">
      <formula>$O163="NÃO INDICADO"</formula>
    </cfRule>
  </conditionalFormatting>
  <conditionalFormatting sqref="D163">
    <cfRule type="expression" dxfId="325" priority="432">
      <formula>$N163="LEVANTADO"</formula>
    </cfRule>
  </conditionalFormatting>
  <conditionalFormatting sqref="D163">
    <cfRule type="expression" dxfId="324" priority="431">
      <formula>$O163="NÃO INDICADO"</formula>
    </cfRule>
  </conditionalFormatting>
  <conditionalFormatting sqref="G163">
    <cfRule type="expression" dxfId="323" priority="430">
      <formula>$N163="LEVANTADO"</formula>
    </cfRule>
  </conditionalFormatting>
  <conditionalFormatting sqref="G163">
    <cfRule type="expression" dxfId="322" priority="429">
      <formula>$O163="NÃO INDICADO"</formula>
    </cfRule>
  </conditionalFormatting>
  <conditionalFormatting sqref="A164:B164">
    <cfRule type="expression" dxfId="321" priority="426">
      <formula>$O164="NÃO INDICADO"</formula>
    </cfRule>
  </conditionalFormatting>
  <conditionalFormatting sqref="A164:C164 E164:F164 I164:M164">
    <cfRule type="expression" dxfId="320" priority="428">
      <formula>$N164="LEVANTADO"</formula>
    </cfRule>
  </conditionalFormatting>
  <conditionalFormatting sqref="A164:C164 E164:F164 I164:O164">
    <cfRule type="expression" dxfId="319" priority="427">
      <formula>$O164="NÃO INDICADO"</formula>
    </cfRule>
  </conditionalFormatting>
  <conditionalFormatting sqref="D164">
    <cfRule type="expression" dxfId="318" priority="425">
      <formula>$N164="LEVANTADO"</formula>
    </cfRule>
  </conditionalFormatting>
  <conditionalFormatting sqref="D164">
    <cfRule type="expression" dxfId="317" priority="424">
      <formula>$O164="NÃO INDICADO"</formula>
    </cfRule>
  </conditionalFormatting>
  <conditionalFormatting sqref="A165:B165">
    <cfRule type="expression" dxfId="316" priority="421">
      <formula>$O165="NÃO INDICADO"</formula>
    </cfRule>
  </conditionalFormatting>
  <conditionalFormatting sqref="A165:C165 E165:F165 I165:M165">
    <cfRule type="expression" dxfId="315" priority="423">
      <formula>$N165="LEVANTADO"</formula>
    </cfRule>
  </conditionalFormatting>
  <conditionalFormatting sqref="A165:C165 E165:F165 I165:O165">
    <cfRule type="expression" dxfId="314" priority="422">
      <formula>$O165="NÃO INDICADO"</formula>
    </cfRule>
  </conditionalFormatting>
  <conditionalFormatting sqref="D165">
    <cfRule type="expression" dxfId="313" priority="420">
      <formula>$N165="LEVANTADO"</formula>
    </cfRule>
  </conditionalFormatting>
  <conditionalFormatting sqref="D165">
    <cfRule type="expression" dxfId="312" priority="419">
      <formula>$O165="NÃO INDICADO"</formula>
    </cfRule>
  </conditionalFormatting>
  <conditionalFormatting sqref="G164">
    <cfRule type="expression" dxfId="311" priority="418">
      <formula>$N164="LEVANTADO"</formula>
    </cfRule>
  </conditionalFormatting>
  <conditionalFormatting sqref="G164">
    <cfRule type="expression" dxfId="310" priority="417">
      <formula>$O164="NÃO INDICADO"</formula>
    </cfRule>
  </conditionalFormatting>
  <conditionalFormatting sqref="G165">
    <cfRule type="expression" dxfId="309" priority="416">
      <formula>$N165="LEVANTADO"</formula>
    </cfRule>
  </conditionalFormatting>
  <conditionalFormatting sqref="G165">
    <cfRule type="expression" dxfId="308" priority="415">
      <formula>$O165="NÃO INDICADO"</formula>
    </cfRule>
  </conditionalFormatting>
  <conditionalFormatting sqref="A166:B166">
    <cfRule type="expression" dxfId="307" priority="412">
      <formula>$O166="NÃO INDICADO"</formula>
    </cfRule>
  </conditionalFormatting>
  <conditionalFormatting sqref="A166:C166 E166:F166 I166:M166">
    <cfRule type="expression" dxfId="306" priority="414">
      <formula>$N166="LEVANTADO"</formula>
    </cfRule>
  </conditionalFormatting>
  <conditionalFormatting sqref="A166:C166 E166:F166 I166:O166">
    <cfRule type="expression" dxfId="305" priority="413">
      <formula>$O166="NÃO INDICADO"</formula>
    </cfRule>
  </conditionalFormatting>
  <conditionalFormatting sqref="D166">
    <cfRule type="expression" dxfId="304" priority="411">
      <formula>$N166="LEVANTADO"</formula>
    </cfRule>
  </conditionalFormatting>
  <conditionalFormatting sqref="D166">
    <cfRule type="expression" dxfId="303" priority="410">
      <formula>$O166="NÃO INDICADO"</formula>
    </cfRule>
  </conditionalFormatting>
  <conditionalFormatting sqref="G166">
    <cfRule type="expression" dxfId="302" priority="409">
      <formula>$N166="LEVANTADO"</formula>
    </cfRule>
  </conditionalFormatting>
  <conditionalFormatting sqref="G166">
    <cfRule type="expression" dxfId="301" priority="408">
      <formula>$O166="NÃO INDICADO"</formula>
    </cfRule>
  </conditionalFormatting>
  <conditionalFormatting sqref="A167:B167">
    <cfRule type="expression" dxfId="300" priority="405">
      <formula>$O167="NÃO INDICADO"</formula>
    </cfRule>
  </conditionalFormatting>
  <conditionalFormatting sqref="A167:C167 E167:F167 I167:M167">
    <cfRule type="expression" dxfId="299" priority="407">
      <formula>$N167="LEVANTADO"</formula>
    </cfRule>
  </conditionalFormatting>
  <conditionalFormatting sqref="A167:C167 E167:F167 I167:O167">
    <cfRule type="expression" dxfId="298" priority="406">
      <formula>$O167="NÃO INDICADO"</formula>
    </cfRule>
  </conditionalFormatting>
  <conditionalFormatting sqref="D167">
    <cfRule type="expression" dxfId="297" priority="404">
      <formula>$N167="LEVANTADO"</formula>
    </cfRule>
  </conditionalFormatting>
  <conditionalFormatting sqref="D167">
    <cfRule type="expression" dxfId="296" priority="403">
      <formula>$O167="NÃO INDICADO"</formula>
    </cfRule>
  </conditionalFormatting>
  <conditionalFormatting sqref="G167">
    <cfRule type="expression" dxfId="295" priority="402">
      <formula>$N167="LEVANTADO"</formula>
    </cfRule>
  </conditionalFormatting>
  <conditionalFormatting sqref="G167">
    <cfRule type="expression" dxfId="294" priority="401">
      <formula>$O167="NÃO INDICADO"</formula>
    </cfRule>
  </conditionalFormatting>
  <conditionalFormatting sqref="A168:B168">
    <cfRule type="expression" dxfId="293" priority="398">
      <formula>$O168="NÃO INDICADO"</formula>
    </cfRule>
  </conditionalFormatting>
  <conditionalFormatting sqref="A168:C168 E168:F168 I168:M168">
    <cfRule type="expression" dxfId="292" priority="400">
      <formula>$N168="LEVANTADO"</formula>
    </cfRule>
  </conditionalFormatting>
  <conditionalFormatting sqref="A168:C168 E168:F168 I168:O168">
    <cfRule type="expression" dxfId="291" priority="399">
      <formula>$O168="NÃO INDICADO"</formula>
    </cfRule>
  </conditionalFormatting>
  <conditionalFormatting sqref="D168">
    <cfRule type="expression" dxfId="290" priority="397">
      <formula>$N168="LEVANTADO"</formula>
    </cfRule>
  </conditionalFormatting>
  <conditionalFormatting sqref="D168">
    <cfRule type="expression" dxfId="289" priority="396">
      <formula>$O168="NÃO INDICADO"</formula>
    </cfRule>
  </conditionalFormatting>
  <conditionalFormatting sqref="G168">
    <cfRule type="expression" dxfId="288" priority="395">
      <formula>$N168="LEVANTADO"</formula>
    </cfRule>
  </conditionalFormatting>
  <conditionalFormatting sqref="G168">
    <cfRule type="expression" dxfId="287" priority="394">
      <formula>$O168="NÃO INDICADO"</formula>
    </cfRule>
  </conditionalFormatting>
  <conditionalFormatting sqref="A169:B169">
    <cfRule type="expression" dxfId="286" priority="391">
      <formula>$O169="NÃO INDICADO"</formula>
    </cfRule>
  </conditionalFormatting>
  <conditionalFormatting sqref="A169:C169 I169:M169 E169:F169">
    <cfRule type="expression" dxfId="285" priority="393">
      <formula>$N169="LEVANTADO"</formula>
    </cfRule>
  </conditionalFormatting>
  <conditionalFormatting sqref="A169:C169 I169:O169 E169:F169">
    <cfRule type="expression" dxfId="284" priority="392">
      <formula>$O169="NÃO INDICADO"</formula>
    </cfRule>
  </conditionalFormatting>
  <conditionalFormatting sqref="G169">
    <cfRule type="expression" dxfId="283" priority="390">
      <formula>$N169="LEVANTADO"</formula>
    </cfRule>
  </conditionalFormatting>
  <conditionalFormatting sqref="G169">
    <cfRule type="expression" dxfId="282" priority="389">
      <formula>$O169="NÃO INDICADO"</formula>
    </cfRule>
  </conditionalFormatting>
  <conditionalFormatting sqref="D169">
    <cfRule type="expression" dxfId="281" priority="388">
      <formula>$N169="LEVANTADO"</formula>
    </cfRule>
  </conditionalFormatting>
  <conditionalFormatting sqref="D169">
    <cfRule type="expression" dxfId="280" priority="387">
      <formula>$O169="NÃO INDICADO"</formula>
    </cfRule>
  </conditionalFormatting>
  <conditionalFormatting sqref="A170:B170">
    <cfRule type="expression" dxfId="279" priority="384">
      <formula>$O170="NÃO INDICADO"</formula>
    </cfRule>
  </conditionalFormatting>
  <conditionalFormatting sqref="A170:C170 I170:M170 E170:F170">
    <cfRule type="expression" dxfId="278" priority="386">
      <formula>$N170="LEVANTADO"</formula>
    </cfRule>
  </conditionalFormatting>
  <conditionalFormatting sqref="A170:C170 I170:O170 E170:F170">
    <cfRule type="expression" dxfId="277" priority="385">
      <formula>$O170="NÃO INDICADO"</formula>
    </cfRule>
  </conditionalFormatting>
  <conditionalFormatting sqref="G170">
    <cfRule type="expression" dxfId="276" priority="383">
      <formula>$N170="LEVANTADO"</formula>
    </cfRule>
  </conditionalFormatting>
  <conditionalFormatting sqref="G170">
    <cfRule type="expression" dxfId="275" priority="382">
      <formula>$O170="NÃO INDICADO"</formula>
    </cfRule>
  </conditionalFormatting>
  <conditionalFormatting sqref="D170">
    <cfRule type="expression" dxfId="274" priority="381">
      <formula>$N170="LEVANTADO"</formula>
    </cfRule>
  </conditionalFormatting>
  <conditionalFormatting sqref="D170">
    <cfRule type="expression" dxfId="273" priority="380">
      <formula>$O170="NÃO INDICADO"</formula>
    </cfRule>
  </conditionalFormatting>
  <conditionalFormatting sqref="B171 I171:J171">
    <cfRule type="expression" dxfId="272" priority="377">
      <formula>$N171="LEVANTADO"</formula>
    </cfRule>
  </conditionalFormatting>
  <conditionalFormatting sqref="I171:J171">
    <cfRule type="expression" dxfId="271" priority="376">
      <formula>$O171="NÃO INDICADO"</formula>
    </cfRule>
  </conditionalFormatting>
  <conditionalFormatting sqref="A171:B171">
    <cfRule type="expression" dxfId="270" priority="371">
      <formula>$O171="NÃO INDICADO"</formula>
    </cfRule>
  </conditionalFormatting>
  <conditionalFormatting sqref="B171">
    <cfRule type="expression" dxfId="269" priority="375">
      <formula>$O171="NÃO INDICADO"</formula>
    </cfRule>
  </conditionalFormatting>
  <conditionalFormatting sqref="C171:H171 J171:M171">
    <cfRule type="expression" dxfId="268" priority="374">
      <formula>$N171="LEVANTADO"</formula>
    </cfRule>
  </conditionalFormatting>
  <conditionalFormatting sqref="C171:H171 J171:O171">
    <cfRule type="expression" dxfId="267" priority="373">
      <formula>$O171="NÃO INDICADO"</formula>
    </cfRule>
  </conditionalFormatting>
  <conditionalFormatting sqref="A171:B171">
    <cfRule type="expression" dxfId="266" priority="372">
      <formula>$N171="LEVANTADO"</formula>
    </cfRule>
  </conditionalFormatting>
  <conditionalFormatting sqref="A171:B171">
    <cfRule type="expression" dxfId="265" priority="370">
      <formula>$O171="NÃO INDICADO"</formula>
    </cfRule>
  </conditionalFormatting>
  <conditionalFormatting sqref="I171">
    <cfRule type="expression" dxfId="264" priority="369">
      <formula>$N171="LEVANTADO"</formula>
    </cfRule>
  </conditionalFormatting>
  <conditionalFormatting sqref="I171">
    <cfRule type="expression" dxfId="263" priority="368">
      <formula>$O171="NÃO INDICADO"</formula>
    </cfRule>
  </conditionalFormatting>
  <conditionalFormatting sqref="J171">
    <cfRule type="expression" dxfId="262" priority="379">
      <formula>$N171="LEVANTADO"</formula>
    </cfRule>
  </conditionalFormatting>
  <conditionalFormatting sqref="J171">
    <cfRule type="expression" dxfId="261" priority="378">
      <formula>$O171="NÃO INDICADO"</formula>
    </cfRule>
  </conditionalFormatting>
  <conditionalFormatting sqref="B172 I172:J172">
    <cfRule type="expression" dxfId="260" priority="365">
      <formula>$N172="LEVANTADO"</formula>
    </cfRule>
  </conditionalFormatting>
  <conditionalFormatting sqref="I172:J172">
    <cfRule type="expression" dxfId="259" priority="364">
      <formula>$O172="NÃO INDICADO"</formula>
    </cfRule>
  </conditionalFormatting>
  <conditionalFormatting sqref="A172:B172">
    <cfRule type="expression" dxfId="258" priority="359">
      <formula>$O172="NÃO INDICADO"</formula>
    </cfRule>
  </conditionalFormatting>
  <conditionalFormatting sqref="B172">
    <cfRule type="expression" dxfId="257" priority="363">
      <formula>$O172="NÃO INDICADO"</formula>
    </cfRule>
  </conditionalFormatting>
  <conditionalFormatting sqref="C172:H172 J172:M172">
    <cfRule type="expression" dxfId="256" priority="362">
      <formula>$N172="LEVANTADO"</formula>
    </cfRule>
  </conditionalFormatting>
  <conditionalFormatting sqref="C172:H172 J172:O172">
    <cfRule type="expression" dxfId="255" priority="361">
      <formula>$O172="NÃO INDICADO"</formula>
    </cfRule>
  </conditionalFormatting>
  <conditionalFormatting sqref="A172:B172">
    <cfRule type="expression" dxfId="254" priority="360">
      <formula>$N172="LEVANTADO"</formula>
    </cfRule>
  </conditionalFormatting>
  <conditionalFormatting sqref="A172:B172">
    <cfRule type="expression" dxfId="253" priority="358">
      <formula>$O172="NÃO INDICADO"</formula>
    </cfRule>
  </conditionalFormatting>
  <conditionalFormatting sqref="I172">
    <cfRule type="expression" dxfId="252" priority="357">
      <formula>$N172="LEVANTADO"</formula>
    </cfRule>
  </conditionalFormatting>
  <conditionalFormatting sqref="I172">
    <cfRule type="expression" dxfId="251" priority="356">
      <formula>$O172="NÃO INDICADO"</formula>
    </cfRule>
  </conditionalFormatting>
  <conditionalFormatting sqref="J172">
    <cfRule type="expression" dxfId="250" priority="367">
      <formula>$N172="LEVANTADO"</formula>
    </cfRule>
  </conditionalFormatting>
  <conditionalFormatting sqref="J172">
    <cfRule type="expression" dxfId="249" priority="366">
      <formula>$O172="NÃO INDICADO"</formula>
    </cfRule>
  </conditionalFormatting>
  <conditionalFormatting sqref="H160:H170">
    <cfRule type="expression" dxfId="248" priority="355">
      <formula>$N160="LEVANTADO"</formula>
    </cfRule>
  </conditionalFormatting>
  <conditionalFormatting sqref="H160:H170">
    <cfRule type="expression" dxfId="247" priority="354">
      <formula>$O160="NÃO INDICADO"</formula>
    </cfRule>
  </conditionalFormatting>
  <conditionalFormatting sqref="A175:B175">
    <cfRule type="expression" dxfId="246" priority="351">
      <formula>$O175="NÃO INDICADO"</formula>
    </cfRule>
  </conditionalFormatting>
  <conditionalFormatting sqref="A175:M175 J176:J187 I175:I187">
    <cfRule type="expression" dxfId="245" priority="353">
      <formula>$N175="LEVANTADO"</formula>
    </cfRule>
  </conditionalFormatting>
  <conditionalFormatting sqref="D175:J175 J176:J187 I175:I187">
    <cfRule type="expression" dxfId="244" priority="352">
      <formula>$O175="NÃO INDICADO"</formula>
    </cfRule>
  </conditionalFormatting>
  <conditionalFormatting sqref="A176:B176">
    <cfRule type="expression" dxfId="243" priority="348">
      <formula>$O176="NÃO INDICADO"</formula>
    </cfRule>
  </conditionalFormatting>
  <conditionalFormatting sqref="A176:F176 H176:M176">
    <cfRule type="expression" dxfId="242" priority="350">
      <formula>$N176="LEVANTADO"</formula>
    </cfRule>
  </conditionalFormatting>
  <conditionalFormatting sqref="D176:F176 H176:J176">
    <cfRule type="expression" dxfId="241" priority="349">
      <formula>$O176="NÃO INDICADO"</formula>
    </cfRule>
  </conditionalFormatting>
  <conditionalFormatting sqref="G176">
    <cfRule type="expression" dxfId="240" priority="347">
      <formula>$N176="LEVANTADO"</formula>
    </cfRule>
  </conditionalFormatting>
  <conditionalFormatting sqref="G176">
    <cfRule type="expression" dxfId="239" priority="346">
      <formula>$O176="NÃO INDICADO"</formula>
    </cfRule>
  </conditionalFormatting>
  <conditionalFormatting sqref="A177:B177">
    <cfRule type="expression" dxfId="238" priority="343">
      <formula>$O177="NÃO INDICADO"</formula>
    </cfRule>
  </conditionalFormatting>
  <conditionalFormatting sqref="A177:C177 E177:F177 H177:M177">
    <cfRule type="expression" dxfId="237" priority="345">
      <formula>$N177="LEVANTADO"</formula>
    </cfRule>
  </conditionalFormatting>
  <conditionalFormatting sqref="A177:C177 E177:F177 H177:O177">
    <cfRule type="expression" dxfId="236" priority="344">
      <formula>$O177="NÃO INDICADO"</formula>
    </cfRule>
  </conditionalFormatting>
  <conditionalFormatting sqref="D177">
    <cfRule type="expression" dxfId="235" priority="342">
      <formula>$N177="LEVANTADO"</formula>
    </cfRule>
  </conditionalFormatting>
  <conditionalFormatting sqref="D177">
    <cfRule type="expression" dxfId="234" priority="341">
      <formula>$O177="NÃO INDICADO"</formula>
    </cfRule>
  </conditionalFormatting>
  <conditionalFormatting sqref="G177">
    <cfRule type="expression" dxfId="233" priority="340">
      <formula>$N177="LEVANTADO"</formula>
    </cfRule>
  </conditionalFormatting>
  <conditionalFormatting sqref="G177">
    <cfRule type="expression" dxfId="232" priority="339">
      <formula>$O177="NÃO INDICADO"</formula>
    </cfRule>
  </conditionalFormatting>
  <conditionalFormatting sqref="A178:B178">
    <cfRule type="expression" dxfId="231" priority="336">
      <formula>$O178="NÃO INDICADO"</formula>
    </cfRule>
  </conditionalFormatting>
  <conditionalFormatting sqref="A178:C178 E178:F178 H178:M178">
    <cfRule type="expression" dxfId="230" priority="338">
      <formula>$N178="LEVANTADO"</formula>
    </cfRule>
  </conditionalFormatting>
  <conditionalFormatting sqref="A178:C178 E178:F178 H178:O178">
    <cfRule type="expression" dxfId="229" priority="337">
      <formula>$O178="NÃO INDICADO"</formula>
    </cfRule>
  </conditionalFormatting>
  <conditionalFormatting sqref="D178">
    <cfRule type="expression" dxfId="228" priority="335">
      <formula>$N178="LEVANTADO"</formula>
    </cfRule>
  </conditionalFormatting>
  <conditionalFormatting sqref="D178">
    <cfRule type="expression" dxfId="227" priority="334">
      <formula>$O178="NÃO INDICADO"</formula>
    </cfRule>
  </conditionalFormatting>
  <conditionalFormatting sqref="G178">
    <cfRule type="expression" dxfId="226" priority="333">
      <formula>$N178="LEVANTADO"</formula>
    </cfRule>
  </conditionalFormatting>
  <conditionalFormatting sqref="G178">
    <cfRule type="expression" dxfId="225" priority="332">
      <formula>$O178="NÃO INDICADO"</formula>
    </cfRule>
  </conditionalFormatting>
  <conditionalFormatting sqref="A179:B179">
    <cfRule type="expression" dxfId="224" priority="329">
      <formula>$O179="NÃO INDICADO"</formula>
    </cfRule>
  </conditionalFormatting>
  <conditionalFormatting sqref="A179:C179 E179:F179 H179:M179">
    <cfRule type="expression" dxfId="223" priority="331">
      <formula>$N179="LEVANTADO"</formula>
    </cfRule>
  </conditionalFormatting>
  <conditionalFormatting sqref="A179:C179 E179:F179 H179:O179">
    <cfRule type="expression" dxfId="222" priority="330">
      <formula>$O179="NÃO INDICADO"</formula>
    </cfRule>
  </conditionalFormatting>
  <conditionalFormatting sqref="D179">
    <cfRule type="expression" dxfId="221" priority="328">
      <formula>$N179="LEVANTADO"</formula>
    </cfRule>
  </conditionalFormatting>
  <conditionalFormatting sqref="D179">
    <cfRule type="expression" dxfId="220" priority="327">
      <formula>$O179="NÃO INDICADO"</formula>
    </cfRule>
  </conditionalFormatting>
  <conditionalFormatting sqref="A180:B180">
    <cfRule type="expression" dxfId="219" priority="324">
      <formula>$O180="NÃO INDICADO"</formula>
    </cfRule>
  </conditionalFormatting>
  <conditionalFormatting sqref="A180:C180 E180:F180 H180:M180">
    <cfRule type="expression" dxfId="218" priority="326">
      <formula>$N180="LEVANTADO"</formula>
    </cfRule>
  </conditionalFormatting>
  <conditionalFormatting sqref="A180:C180 E180:F180 H180:O180">
    <cfRule type="expression" dxfId="217" priority="325">
      <formula>$O180="NÃO INDICADO"</formula>
    </cfRule>
  </conditionalFormatting>
  <conditionalFormatting sqref="D180">
    <cfRule type="expression" dxfId="216" priority="323">
      <formula>$N180="LEVANTADO"</formula>
    </cfRule>
  </conditionalFormatting>
  <conditionalFormatting sqref="D180">
    <cfRule type="expression" dxfId="215" priority="322">
      <formula>$O180="NÃO INDICADO"</formula>
    </cfRule>
  </conditionalFormatting>
  <conditionalFormatting sqref="G179">
    <cfRule type="expression" dxfId="214" priority="321">
      <formula>$N179="LEVANTADO"</formula>
    </cfRule>
  </conditionalFormatting>
  <conditionalFormatting sqref="G179">
    <cfRule type="expression" dxfId="213" priority="320">
      <formula>$O179="NÃO INDICADO"</formula>
    </cfRule>
  </conditionalFormatting>
  <conditionalFormatting sqref="G180">
    <cfRule type="expression" dxfId="212" priority="319">
      <formula>$N180="LEVANTADO"</formula>
    </cfRule>
  </conditionalFormatting>
  <conditionalFormatting sqref="G180">
    <cfRule type="expression" dxfId="211" priority="318">
      <formula>$O180="NÃO INDICADO"</formula>
    </cfRule>
  </conditionalFormatting>
  <conditionalFormatting sqref="A181:B181">
    <cfRule type="expression" dxfId="210" priority="315">
      <formula>$O181="NÃO INDICADO"</formula>
    </cfRule>
  </conditionalFormatting>
  <conditionalFormatting sqref="A181:C181 E181:F181 H181:M181">
    <cfRule type="expression" dxfId="209" priority="317">
      <formula>$N181="LEVANTADO"</formula>
    </cfRule>
  </conditionalFormatting>
  <conditionalFormatting sqref="A181:C181 E181:F181 H181:O181">
    <cfRule type="expression" dxfId="208" priority="316">
      <formula>$O181="NÃO INDICADO"</formula>
    </cfRule>
  </conditionalFormatting>
  <conditionalFormatting sqref="D181">
    <cfRule type="expression" dxfId="207" priority="314">
      <formula>$N181="LEVANTADO"</formula>
    </cfRule>
  </conditionalFormatting>
  <conditionalFormatting sqref="D181">
    <cfRule type="expression" dxfId="206" priority="313">
      <formula>$O181="NÃO INDICADO"</formula>
    </cfRule>
  </conditionalFormatting>
  <conditionalFormatting sqref="G181">
    <cfRule type="expression" dxfId="205" priority="312">
      <formula>$N181="LEVANTADO"</formula>
    </cfRule>
  </conditionalFormatting>
  <conditionalFormatting sqref="G181">
    <cfRule type="expression" dxfId="204" priority="311">
      <formula>$O181="NÃO INDICADO"</formula>
    </cfRule>
  </conditionalFormatting>
  <conditionalFormatting sqref="A182:B182">
    <cfRule type="expression" dxfId="203" priority="308">
      <formula>$O182="NÃO INDICADO"</formula>
    </cfRule>
  </conditionalFormatting>
  <conditionalFormatting sqref="A182:C182 E182:F182 H182:M182">
    <cfRule type="expression" dxfId="202" priority="310">
      <formula>$N182="LEVANTADO"</formula>
    </cfRule>
  </conditionalFormatting>
  <conditionalFormatting sqref="A182:C182 E182:F182 H182:O182">
    <cfRule type="expression" dxfId="201" priority="309">
      <formula>$O182="NÃO INDICADO"</formula>
    </cfRule>
  </conditionalFormatting>
  <conditionalFormatting sqref="D182">
    <cfRule type="expression" dxfId="200" priority="307">
      <formula>$N182="LEVANTADO"</formula>
    </cfRule>
  </conditionalFormatting>
  <conditionalFormatting sqref="D182">
    <cfRule type="expression" dxfId="199" priority="306">
      <formula>$O182="NÃO INDICADO"</formula>
    </cfRule>
  </conditionalFormatting>
  <conditionalFormatting sqref="G182">
    <cfRule type="expression" dxfId="198" priority="305">
      <formula>$N182="LEVANTADO"</formula>
    </cfRule>
  </conditionalFormatting>
  <conditionalFormatting sqref="G182">
    <cfRule type="expression" dxfId="197" priority="304">
      <formula>$O182="NÃO INDICADO"</formula>
    </cfRule>
  </conditionalFormatting>
  <conditionalFormatting sqref="A183:B183">
    <cfRule type="expression" dxfId="196" priority="301">
      <formula>$O183="NÃO INDICADO"</formula>
    </cfRule>
  </conditionalFormatting>
  <conditionalFormatting sqref="A183:C183 E183:F183 H183:M183">
    <cfRule type="expression" dxfId="195" priority="303">
      <formula>$N183="LEVANTADO"</formula>
    </cfRule>
  </conditionalFormatting>
  <conditionalFormatting sqref="A183:C183 E183:F183 H183:O183">
    <cfRule type="expression" dxfId="194" priority="302">
      <formula>$O183="NÃO INDICADO"</formula>
    </cfRule>
  </conditionalFormatting>
  <conditionalFormatting sqref="D183">
    <cfRule type="expression" dxfId="193" priority="300">
      <formula>$N183="LEVANTADO"</formula>
    </cfRule>
  </conditionalFormatting>
  <conditionalFormatting sqref="D183">
    <cfRule type="expression" dxfId="192" priority="299">
      <formula>$O183="NÃO INDICADO"</formula>
    </cfRule>
  </conditionalFormatting>
  <conditionalFormatting sqref="G183">
    <cfRule type="expression" dxfId="191" priority="298">
      <formula>$N183="LEVANTADO"</formula>
    </cfRule>
  </conditionalFormatting>
  <conditionalFormatting sqref="G183">
    <cfRule type="expression" dxfId="190" priority="297">
      <formula>$O183="NÃO INDICADO"</formula>
    </cfRule>
  </conditionalFormatting>
  <conditionalFormatting sqref="A184:B184">
    <cfRule type="expression" dxfId="189" priority="294">
      <formula>$O184="NÃO INDICADO"</formula>
    </cfRule>
  </conditionalFormatting>
  <conditionalFormatting sqref="A184:C184 H184:M184 E184:F184">
    <cfRule type="expression" dxfId="188" priority="296">
      <formula>$N184="LEVANTADO"</formula>
    </cfRule>
  </conditionalFormatting>
  <conditionalFormatting sqref="A184:C184 H184:O184 E184:F184">
    <cfRule type="expression" dxfId="187" priority="295">
      <formula>$O184="NÃO INDICADO"</formula>
    </cfRule>
  </conditionalFormatting>
  <conditionalFormatting sqref="G184">
    <cfRule type="expression" dxfId="186" priority="293">
      <formula>$N184="LEVANTADO"</formula>
    </cfRule>
  </conditionalFormatting>
  <conditionalFormatting sqref="G184">
    <cfRule type="expression" dxfId="185" priority="292">
      <formula>$O184="NÃO INDICADO"</formula>
    </cfRule>
  </conditionalFormatting>
  <conditionalFormatting sqref="D184">
    <cfRule type="expression" dxfId="184" priority="291">
      <formula>$N184="LEVANTADO"</formula>
    </cfRule>
  </conditionalFormatting>
  <conditionalFormatting sqref="D184">
    <cfRule type="expression" dxfId="183" priority="290">
      <formula>$O184="NÃO INDICADO"</formula>
    </cfRule>
  </conditionalFormatting>
  <conditionalFormatting sqref="A185:B185">
    <cfRule type="expression" dxfId="182" priority="287">
      <formula>$O185="NÃO INDICADO"</formula>
    </cfRule>
  </conditionalFormatting>
  <conditionalFormatting sqref="A185:C185 H185:M185 E185:F185">
    <cfRule type="expression" dxfId="181" priority="289">
      <formula>$N185="LEVANTADO"</formula>
    </cfRule>
  </conditionalFormatting>
  <conditionalFormatting sqref="A185:C185 H185:O185 E185:F185">
    <cfRule type="expression" dxfId="180" priority="288">
      <formula>$O185="NÃO INDICADO"</formula>
    </cfRule>
  </conditionalFormatting>
  <conditionalFormatting sqref="G185">
    <cfRule type="expression" dxfId="179" priority="286">
      <formula>$N185="LEVANTADO"</formula>
    </cfRule>
  </conditionalFormatting>
  <conditionalFormatting sqref="G185">
    <cfRule type="expression" dxfId="178" priority="285">
      <formula>$O185="NÃO INDICADO"</formula>
    </cfRule>
  </conditionalFormatting>
  <conditionalFormatting sqref="D185">
    <cfRule type="expression" dxfId="177" priority="284">
      <formula>$N185="LEVANTADO"</formula>
    </cfRule>
  </conditionalFormatting>
  <conditionalFormatting sqref="D185">
    <cfRule type="expression" dxfId="176" priority="283">
      <formula>$O185="NÃO INDICADO"</formula>
    </cfRule>
  </conditionalFormatting>
  <conditionalFormatting sqref="B186 I186:J186">
    <cfRule type="expression" dxfId="175" priority="280">
      <formula>$N186="LEVANTADO"</formula>
    </cfRule>
  </conditionalFormatting>
  <conditionalFormatting sqref="I186:J186">
    <cfRule type="expression" dxfId="174" priority="279">
      <formula>$O186="NÃO INDICADO"</formula>
    </cfRule>
  </conditionalFormatting>
  <conditionalFormatting sqref="A186:B186">
    <cfRule type="expression" dxfId="173" priority="274">
      <formula>$O186="NÃO INDICADO"</formula>
    </cfRule>
  </conditionalFormatting>
  <conditionalFormatting sqref="B186">
    <cfRule type="expression" dxfId="172" priority="278">
      <formula>$O186="NÃO INDICADO"</formula>
    </cfRule>
  </conditionalFormatting>
  <conditionalFormatting sqref="C186:H186 J186:M186">
    <cfRule type="expression" dxfId="171" priority="277">
      <formula>$N186="LEVANTADO"</formula>
    </cfRule>
  </conditionalFormatting>
  <conditionalFormatting sqref="C186:H186 J186:O186">
    <cfRule type="expression" dxfId="170" priority="276">
      <formula>$O186="NÃO INDICADO"</formula>
    </cfRule>
  </conditionalFormatting>
  <conditionalFormatting sqref="A186:B186">
    <cfRule type="expression" dxfId="169" priority="275">
      <formula>$N186="LEVANTADO"</formula>
    </cfRule>
  </conditionalFormatting>
  <conditionalFormatting sqref="A186:B186">
    <cfRule type="expression" dxfId="168" priority="273">
      <formula>$O186="NÃO INDICADO"</formula>
    </cfRule>
  </conditionalFormatting>
  <conditionalFormatting sqref="I186">
    <cfRule type="expression" dxfId="167" priority="272">
      <formula>$N186="LEVANTADO"</formula>
    </cfRule>
  </conditionalFormatting>
  <conditionalFormatting sqref="I186">
    <cfRule type="expression" dxfId="166" priority="271">
      <formula>$O186="NÃO INDICADO"</formula>
    </cfRule>
  </conditionalFormatting>
  <conditionalFormatting sqref="J186">
    <cfRule type="expression" dxfId="165" priority="282">
      <formula>$N186="LEVANTADO"</formula>
    </cfRule>
  </conditionalFormatting>
  <conditionalFormatting sqref="J186">
    <cfRule type="expression" dxfId="164" priority="281">
      <formula>$O186="NÃO INDICADO"</formula>
    </cfRule>
  </conditionalFormatting>
  <conditionalFormatting sqref="B187 I187:J187">
    <cfRule type="expression" dxfId="163" priority="268">
      <formula>$N187="LEVANTADO"</formula>
    </cfRule>
  </conditionalFormatting>
  <conditionalFormatting sqref="I187:J187">
    <cfRule type="expression" dxfId="162" priority="267">
      <formula>$O187="NÃO INDICADO"</formula>
    </cfRule>
  </conditionalFormatting>
  <conditionalFormatting sqref="A187:B187">
    <cfRule type="expression" dxfId="161" priority="262">
      <formula>$O187="NÃO INDICADO"</formula>
    </cfRule>
  </conditionalFormatting>
  <conditionalFormatting sqref="B187">
    <cfRule type="expression" dxfId="160" priority="266">
      <formula>$O187="NÃO INDICADO"</formula>
    </cfRule>
  </conditionalFormatting>
  <conditionalFormatting sqref="C187:H187 J187:M187">
    <cfRule type="expression" dxfId="159" priority="265">
      <formula>$N187="LEVANTADO"</formula>
    </cfRule>
  </conditionalFormatting>
  <conditionalFormatting sqref="C187:H187 J187:O187">
    <cfRule type="expression" dxfId="158" priority="264">
      <formula>$O187="NÃO INDICADO"</formula>
    </cfRule>
  </conditionalFormatting>
  <conditionalFormatting sqref="A187:B187">
    <cfRule type="expression" dxfId="157" priority="263">
      <formula>$N187="LEVANTADO"</formula>
    </cfRule>
  </conditionalFormatting>
  <conditionalFormatting sqref="A187:B187">
    <cfRule type="expression" dxfId="156" priority="261">
      <formula>$O187="NÃO INDICADO"</formula>
    </cfRule>
  </conditionalFormatting>
  <conditionalFormatting sqref="I187">
    <cfRule type="expression" dxfId="155" priority="260">
      <formula>$N187="LEVANTADO"</formula>
    </cfRule>
  </conditionalFormatting>
  <conditionalFormatting sqref="I187">
    <cfRule type="expression" dxfId="154" priority="259">
      <formula>$O187="NÃO INDICADO"</formula>
    </cfRule>
  </conditionalFormatting>
  <conditionalFormatting sqref="J187">
    <cfRule type="expression" dxfId="153" priority="270">
      <formula>$N187="LEVANTADO"</formula>
    </cfRule>
  </conditionalFormatting>
  <conditionalFormatting sqref="J187">
    <cfRule type="expression" dxfId="152" priority="269">
      <formula>$O187="NÃO INDICADO"</formula>
    </cfRule>
  </conditionalFormatting>
  <conditionalFormatting sqref="B203 I203:J203">
    <cfRule type="expression" dxfId="151" priority="255">
      <formula>$N203="LEVANTADO"</formula>
    </cfRule>
  </conditionalFormatting>
  <conditionalFormatting sqref="I203:J203">
    <cfRule type="expression" dxfId="150" priority="254">
      <formula>$O203="NÃO INDICADO"</formula>
    </cfRule>
  </conditionalFormatting>
  <conditionalFormatting sqref="A203:B203">
    <cfRule type="expression" dxfId="149" priority="249">
      <formula>$O203="NÃO INDICADO"</formula>
    </cfRule>
  </conditionalFormatting>
  <conditionalFormatting sqref="A192:B202">
    <cfRule type="expression" dxfId="148" priority="256">
      <formula>$O192="NÃO INDICADO"</formula>
    </cfRule>
  </conditionalFormatting>
  <conditionalFormatting sqref="B203">
    <cfRule type="expression" dxfId="147" priority="253">
      <formula>$O203="NÃO INDICADO"</formula>
    </cfRule>
  </conditionalFormatting>
  <conditionalFormatting sqref="C203:H203 J203:M203">
    <cfRule type="expression" dxfId="146" priority="252">
      <formula>$N203="LEVANTADO"</formula>
    </cfRule>
  </conditionalFormatting>
  <conditionalFormatting sqref="C203:H203 J203:O203">
    <cfRule type="expression" dxfId="145" priority="251">
      <formula>$O203="NÃO INDICADO"</formula>
    </cfRule>
  </conditionalFormatting>
  <conditionalFormatting sqref="A203:B203">
    <cfRule type="expression" dxfId="144" priority="250">
      <formula>$N203="LEVANTADO"</formula>
    </cfRule>
  </conditionalFormatting>
  <conditionalFormatting sqref="A203:B203">
    <cfRule type="expression" dxfId="143" priority="248">
      <formula>$O203="NÃO INDICADO"</formula>
    </cfRule>
  </conditionalFormatting>
  <conditionalFormatting sqref="I203">
    <cfRule type="expression" dxfId="142" priority="247">
      <formula>$N203="LEVANTADO"</formula>
    </cfRule>
  </conditionalFormatting>
  <conditionalFormatting sqref="I203">
    <cfRule type="expression" dxfId="141" priority="246">
      <formula>$O203="NÃO INDICADO"</formula>
    </cfRule>
  </conditionalFormatting>
  <conditionalFormatting sqref="A192:M194 A195:C202 J203 E195:M202">
    <cfRule type="expression" dxfId="140" priority="258">
      <formula>$N192="LEVANTADO"</formula>
    </cfRule>
  </conditionalFormatting>
  <conditionalFormatting sqref="D192:J193 A194:O194 A195:C202 J203 E195:O202">
    <cfRule type="expression" dxfId="139" priority="257">
      <formula>$O192="NÃO INDICADO"</formula>
    </cfRule>
  </conditionalFormatting>
  <conditionalFormatting sqref="A205:M206">
    <cfRule type="expression" dxfId="138" priority="245">
      <formula>$N205="LEVANTADO"</formula>
    </cfRule>
  </conditionalFormatting>
  <conditionalFormatting sqref="A205:O206">
    <cfRule type="expression" dxfId="137" priority="244">
      <formula>$O205="NÃO INDICADO"</formula>
    </cfRule>
  </conditionalFormatting>
  <conditionalFormatting sqref="A205:B206">
    <cfRule type="expression" dxfId="136" priority="243">
      <formula>$O205="NÃO INDICADO"</formula>
    </cfRule>
  </conditionalFormatting>
  <conditionalFormatting sqref="K221:O221 A221:C221">
    <cfRule type="expression" dxfId="135" priority="224">
      <formula>$O221="NÃO INDICADO"</formula>
    </cfRule>
  </conditionalFormatting>
  <conditionalFormatting sqref="A218:C219 K218:M219 K216:M216 A216:C216 A217:B217 I216:J219">
    <cfRule type="expression" dxfId="134" priority="242">
      <formula>$N216="LEVANTADO"</formula>
    </cfRule>
  </conditionalFormatting>
  <conditionalFormatting sqref="K218:O219 A218:C219 K216:O216 A216:C216 I216:J219">
    <cfRule type="expression" dxfId="133" priority="241">
      <formula>$O216="NÃO INDICADO"</formula>
    </cfRule>
  </conditionalFormatting>
  <conditionalFormatting sqref="D216:J216 D218:J219 J217">
    <cfRule type="expression" dxfId="132" priority="240">
      <formula>$N216="LEVANTADO"</formula>
    </cfRule>
  </conditionalFormatting>
  <conditionalFormatting sqref="D216:J216 D218:J219 J217">
    <cfRule type="expression" dxfId="131" priority="239">
      <formula>$O216="NÃO INDICADO"</formula>
    </cfRule>
  </conditionalFormatting>
  <conditionalFormatting sqref="A216:B219">
    <cfRule type="expression" dxfId="130" priority="238">
      <formula>$O216="NÃO INDICADO"</formula>
    </cfRule>
  </conditionalFormatting>
  <conditionalFormatting sqref="K217:M217 A217:C217">
    <cfRule type="expression" dxfId="129" priority="237">
      <formula>$N217="LEVANTADO"</formula>
    </cfRule>
  </conditionalFormatting>
  <conditionalFormatting sqref="A217:C217 K217:O217">
    <cfRule type="expression" dxfId="128" priority="236">
      <formula>$O217="NÃO INDICADO"</formula>
    </cfRule>
  </conditionalFormatting>
  <conditionalFormatting sqref="D217:J217">
    <cfRule type="expression" dxfId="127" priority="235">
      <formula>$N217="LEVANTADO"</formula>
    </cfRule>
  </conditionalFormatting>
  <conditionalFormatting sqref="D217:J217">
    <cfRule type="expression" dxfId="126" priority="234">
      <formula>$O217="NÃO INDICADO"</formula>
    </cfRule>
  </conditionalFormatting>
  <conditionalFormatting sqref="A214:C214 I214:M214 A208:M213">
    <cfRule type="expression" dxfId="125" priority="233">
      <formula>$N208="LEVANTADO"</formula>
    </cfRule>
  </conditionalFormatting>
  <conditionalFormatting sqref="A214:C214 I214:O214 A208:O213">
    <cfRule type="expression" dxfId="124" priority="232">
      <formula>$O208="NÃO INDICADO"</formula>
    </cfRule>
  </conditionalFormatting>
  <conditionalFormatting sqref="A208:B214">
    <cfRule type="expression" dxfId="123" priority="231">
      <formula>$O208="NÃO INDICADO"</formula>
    </cfRule>
  </conditionalFormatting>
  <conditionalFormatting sqref="D214:J214">
    <cfRule type="expression" dxfId="122" priority="230">
      <formula>$N214="LEVANTADO"</formula>
    </cfRule>
  </conditionalFormatting>
  <conditionalFormatting sqref="D214:J214">
    <cfRule type="expression" dxfId="121" priority="229">
      <formula>$O214="NÃO INDICADO"</formula>
    </cfRule>
  </conditionalFormatting>
  <conditionalFormatting sqref="K222:M222 A222:C222 A223:B224 A221:B221 I221:J224">
    <cfRule type="expression" dxfId="120" priority="228">
      <formula>$N221="LEVANTADO"</formula>
    </cfRule>
  </conditionalFormatting>
  <conditionalFormatting sqref="A222:C222 K222:O222 I221:J224">
    <cfRule type="expression" dxfId="119" priority="227">
      <formula>$O221="NÃO INDICADO"</formula>
    </cfRule>
  </conditionalFormatting>
  <conditionalFormatting sqref="A221:B224">
    <cfRule type="expression" dxfId="118" priority="226">
      <formula>$O221="NÃO INDICADO"</formula>
    </cfRule>
  </conditionalFormatting>
  <conditionalFormatting sqref="A221:C221 K221:M221">
    <cfRule type="expression" dxfId="117" priority="225">
      <formula>$N221="LEVANTADO"</formula>
    </cfRule>
  </conditionalFormatting>
  <conditionalFormatting sqref="D221:J221 J222:J224">
    <cfRule type="expression" dxfId="116" priority="223">
      <formula>$N221="LEVANTADO"</formula>
    </cfRule>
  </conditionalFormatting>
  <conditionalFormatting sqref="D221:J221 J222:J224">
    <cfRule type="expression" dxfId="115" priority="222">
      <formula>$O221="NÃO INDICADO"</formula>
    </cfRule>
  </conditionalFormatting>
  <conditionalFormatting sqref="D222:J222">
    <cfRule type="expression" dxfId="114" priority="221">
      <formula>$N222="LEVANTADO"</formula>
    </cfRule>
  </conditionalFormatting>
  <conditionalFormatting sqref="D222:J222">
    <cfRule type="expression" dxfId="113" priority="220">
      <formula>$O222="NÃO INDICADO"</formula>
    </cfRule>
  </conditionalFormatting>
  <conditionalFormatting sqref="K223:M223 A223:C223">
    <cfRule type="expression" dxfId="112" priority="219">
      <formula>$N223="LEVANTADO"</formula>
    </cfRule>
  </conditionalFormatting>
  <conditionalFormatting sqref="A223:C223 K223:O223">
    <cfRule type="expression" dxfId="111" priority="218">
      <formula>$O223="NÃO INDICADO"</formula>
    </cfRule>
  </conditionalFormatting>
  <conditionalFormatting sqref="D223:J223">
    <cfRule type="expression" dxfId="110" priority="217">
      <formula>$N223="LEVANTADO"</formula>
    </cfRule>
  </conditionalFormatting>
  <conditionalFormatting sqref="D223:J223">
    <cfRule type="expression" dxfId="109" priority="216">
      <formula>$O223="NÃO INDICADO"</formula>
    </cfRule>
  </conditionalFormatting>
  <conditionalFormatting sqref="A224:C224 K224:M224">
    <cfRule type="expression" dxfId="108" priority="215">
      <formula>$N224="LEVANTADO"</formula>
    </cfRule>
  </conditionalFormatting>
  <conditionalFormatting sqref="K224:O224 A224:C224">
    <cfRule type="expression" dxfId="107" priority="214">
      <formula>$O224="NÃO INDICADO"</formula>
    </cfRule>
  </conditionalFormatting>
  <conditionalFormatting sqref="D224:J224">
    <cfRule type="expression" dxfId="106" priority="213">
      <formula>$N224="LEVANTADO"</formula>
    </cfRule>
  </conditionalFormatting>
  <conditionalFormatting sqref="D224:J224">
    <cfRule type="expression" dxfId="105" priority="212">
      <formula>$O224="NÃO INDICADO"</formula>
    </cfRule>
  </conditionalFormatting>
  <conditionalFormatting sqref="D195">
    <cfRule type="expression" dxfId="104" priority="193">
      <formula>$N195="LEVANTADO"</formula>
    </cfRule>
  </conditionalFormatting>
  <conditionalFormatting sqref="D195">
    <cfRule type="expression" dxfId="103" priority="192">
      <formula>$O195="NÃO INDICADO"</formula>
    </cfRule>
  </conditionalFormatting>
  <conditionalFormatting sqref="D196">
    <cfRule type="expression" dxfId="102" priority="184">
      <formula>$N196="LEVANTADO"</formula>
    </cfRule>
  </conditionalFormatting>
  <conditionalFormatting sqref="D196">
    <cfRule type="expression" dxfId="101" priority="183">
      <formula>$O196="NÃO INDICADO"</formula>
    </cfRule>
  </conditionalFormatting>
  <conditionalFormatting sqref="D197">
    <cfRule type="expression" dxfId="100" priority="177">
      <formula>$N197="LEVANTADO"</formula>
    </cfRule>
  </conditionalFormatting>
  <conditionalFormatting sqref="D197">
    <cfRule type="expression" dxfId="99" priority="176">
      <formula>$O197="NÃO INDICADO"</formula>
    </cfRule>
  </conditionalFormatting>
  <conditionalFormatting sqref="D198">
    <cfRule type="expression" dxfId="98" priority="166">
      <formula>$N198="LEVANTADO"</formula>
    </cfRule>
  </conditionalFormatting>
  <conditionalFormatting sqref="D198">
    <cfRule type="expression" dxfId="97" priority="165">
      <formula>$O198="NÃO INDICADO"</formula>
    </cfRule>
  </conditionalFormatting>
  <conditionalFormatting sqref="D199">
    <cfRule type="expression" dxfId="96" priority="157">
      <formula>$N199="LEVANTADO"</formula>
    </cfRule>
  </conditionalFormatting>
  <conditionalFormatting sqref="D199">
    <cfRule type="expression" dxfId="95" priority="156">
      <formula>$O199="NÃO INDICADO"</formula>
    </cfRule>
  </conditionalFormatting>
  <conditionalFormatting sqref="D200">
    <cfRule type="expression" dxfId="94" priority="148">
      <formula>$N200="LEVANTADO"</formula>
    </cfRule>
  </conditionalFormatting>
  <conditionalFormatting sqref="D200">
    <cfRule type="expression" dxfId="93" priority="147">
      <formula>$O200="NÃO INDICADO"</formula>
    </cfRule>
  </conditionalFormatting>
  <conditionalFormatting sqref="D201">
    <cfRule type="expression" dxfId="92" priority="137">
      <formula>$N201="LEVANTADO"</formula>
    </cfRule>
  </conditionalFormatting>
  <conditionalFormatting sqref="D201">
    <cfRule type="expression" dxfId="91" priority="136">
      <formula>$O201="NÃO INDICADO"</formula>
    </cfRule>
  </conditionalFormatting>
  <conditionalFormatting sqref="D202">
    <cfRule type="expression" dxfId="90" priority="128">
      <formula>$N202="LEVANTADO"</formula>
    </cfRule>
  </conditionalFormatting>
  <conditionalFormatting sqref="D202">
    <cfRule type="expression" dxfId="89" priority="127">
      <formula>$O202="NÃO INDICADO"</formula>
    </cfRule>
  </conditionalFormatting>
  <conditionalFormatting sqref="J52">
    <cfRule type="expression" dxfId="88" priority="100">
      <formula>$N52="LEVANTADO"</formula>
    </cfRule>
  </conditionalFormatting>
  <conditionalFormatting sqref="J52">
    <cfRule type="expression" dxfId="87" priority="99">
      <formula>$O52="NÃO INDICADO"</formula>
    </cfRule>
  </conditionalFormatting>
  <conditionalFormatting sqref="J54">
    <cfRule type="expression" dxfId="86" priority="98">
      <formula>$N54="LEVANTADO"</formula>
    </cfRule>
  </conditionalFormatting>
  <conditionalFormatting sqref="J54">
    <cfRule type="expression" dxfId="85" priority="97">
      <formula>$O54="NÃO INDICADO"</formula>
    </cfRule>
  </conditionalFormatting>
  <conditionalFormatting sqref="J56">
    <cfRule type="expression" dxfId="84" priority="96">
      <formula>$N56="LEVANTADO"</formula>
    </cfRule>
  </conditionalFormatting>
  <conditionalFormatting sqref="J56">
    <cfRule type="expression" dxfId="83" priority="95">
      <formula>$O56="NÃO INDICADO"</formula>
    </cfRule>
  </conditionalFormatting>
  <conditionalFormatting sqref="J58">
    <cfRule type="expression" dxfId="82" priority="94">
      <formula>$N58="LEVANTADO"</formula>
    </cfRule>
  </conditionalFormatting>
  <conditionalFormatting sqref="J58">
    <cfRule type="expression" dxfId="81" priority="93">
      <formula>$O58="NÃO INDICADO"</formula>
    </cfRule>
  </conditionalFormatting>
  <conditionalFormatting sqref="J60">
    <cfRule type="expression" dxfId="80" priority="92">
      <formula>$N60="LEVANTADO"</formula>
    </cfRule>
  </conditionalFormatting>
  <conditionalFormatting sqref="J60">
    <cfRule type="expression" dxfId="79" priority="91">
      <formula>$O60="NÃO INDICADO"</formula>
    </cfRule>
  </conditionalFormatting>
  <conditionalFormatting sqref="J62">
    <cfRule type="expression" dxfId="78" priority="90">
      <formula>$N62="LEVANTADO"</formula>
    </cfRule>
  </conditionalFormatting>
  <conditionalFormatting sqref="J62">
    <cfRule type="expression" dxfId="77" priority="89">
      <formula>$O62="NÃO INDICADO"</formula>
    </cfRule>
  </conditionalFormatting>
  <conditionalFormatting sqref="J64">
    <cfRule type="expression" dxfId="76" priority="88">
      <formula>$N64="LEVANTADO"</formula>
    </cfRule>
  </conditionalFormatting>
  <conditionalFormatting sqref="J64">
    <cfRule type="expression" dxfId="75" priority="87">
      <formula>$O64="NÃO INDICADO"</formula>
    </cfRule>
  </conditionalFormatting>
  <conditionalFormatting sqref="J66">
    <cfRule type="expression" dxfId="74" priority="86">
      <formula>$N66="LEVANTADO"</formula>
    </cfRule>
  </conditionalFormatting>
  <conditionalFormatting sqref="J66">
    <cfRule type="expression" dxfId="73" priority="85">
      <formula>$O66="NÃO INDICADO"</formula>
    </cfRule>
  </conditionalFormatting>
  <conditionalFormatting sqref="J68">
    <cfRule type="expression" dxfId="72" priority="84">
      <formula>$N68="LEVANTADO"</formula>
    </cfRule>
  </conditionalFormatting>
  <conditionalFormatting sqref="J68">
    <cfRule type="expression" dxfId="71" priority="83">
      <formula>$O68="NÃO INDICADO"</formula>
    </cfRule>
  </conditionalFormatting>
  <conditionalFormatting sqref="J70">
    <cfRule type="expression" dxfId="70" priority="82">
      <formula>$N70="LEVANTADO"</formula>
    </cfRule>
  </conditionalFormatting>
  <conditionalFormatting sqref="J70">
    <cfRule type="expression" dxfId="69" priority="81">
      <formula>$O70="NÃO INDICADO"</formula>
    </cfRule>
  </conditionalFormatting>
  <conditionalFormatting sqref="J72">
    <cfRule type="expression" dxfId="68" priority="80">
      <formula>$N72="LEVANTADO"</formula>
    </cfRule>
  </conditionalFormatting>
  <conditionalFormatting sqref="J72">
    <cfRule type="expression" dxfId="67" priority="79">
      <formula>$O72="NÃO INDICADO"</formula>
    </cfRule>
  </conditionalFormatting>
  <conditionalFormatting sqref="J73">
    <cfRule type="expression" dxfId="66" priority="78">
      <formula>$N73="LEVANTADO"</formula>
    </cfRule>
  </conditionalFormatting>
  <conditionalFormatting sqref="J73">
    <cfRule type="expression" dxfId="65" priority="77">
      <formula>$O73="NÃO INDICADO"</formula>
    </cfRule>
  </conditionalFormatting>
  <conditionalFormatting sqref="A252:B259 B232:B258">
    <cfRule type="expression" dxfId="64" priority="73">
      <formula>$N232="LEVANTADO"</formula>
    </cfRule>
  </conditionalFormatting>
  <conditionalFormatting sqref="A232:O251 A252:B259 B232:B258">
    <cfRule type="expression" dxfId="63" priority="72">
      <formula>$O232="NÃO INDICADO"</formula>
    </cfRule>
  </conditionalFormatting>
  <conditionalFormatting sqref="A252:M258">
    <cfRule type="expression" dxfId="62" priority="71">
      <formula>$N252="LEVANTADO"</formula>
    </cfRule>
  </conditionalFormatting>
  <conditionalFormatting sqref="A252:O258">
    <cfRule type="expression" dxfId="61" priority="70">
      <formula>$O252="NÃO INDICADO"</formula>
    </cfRule>
  </conditionalFormatting>
  <conditionalFormatting sqref="A259:M259">
    <cfRule type="expression" dxfId="60" priority="69">
      <formula>$N259="LEVANTADO"</formula>
    </cfRule>
  </conditionalFormatting>
  <conditionalFormatting sqref="A259:O259">
    <cfRule type="expression" dxfId="59" priority="68">
      <formula>$O259="NÃO INDICADO"</formula>
    </cfRule>
  </conditionalFormatting>
  <conditionalFormatting sqref="A265:M281 K265:K284 I265:I284">
    <cfRule type="expression" dxfId="58" priority="67">
      <formula>$N265="LEVANTADO"</formula>
    </cfRule>
  </conditionalFormatting>
  <conditionalFormatting sqref="A282:B284 B265:B284">
    <cfRule type="expression" dxfId="57" priority="66">
      <formula>$N265="LEVANTADO"</formula>
    </cfRule>
  </conditionalFormatting>
  <conditionalFormatting sqref="A282:B284 A265:O281 K265:K284 I265:I284">
    <cfRule type="expression" dxfId="56" priority="65">
      <formula>$O265="NÃO INDICADO"</formula>
    </cfRule>
  </conditionalFormatting>
  <conditionalFormatting sqref="A282:M284">
    <cfRule type="expression" dxfId="55" priority="64">
      <formula>$N282="LEVANTADO"</formula>
    </cfRule>
  </conditionalFormatting>
  <conditionalFormatting sqref="A282:O284">
    <cfRule type="expression" dxfId="54" priority="63">
      <formula>$O282="NÃO INDICADO"</formula>
    </cfRule>
  </conditionalFormatting>
  <conditionalFormatting sqref="A288:M289">
    <cfRule type="expression" dxfId="53" priority="62">
      <formula>$N288="LEVANTADO"</formula>
    </cfRule>
  </conditionalFormatting>
  <conditionalFormatting sqref="B288:B289 A290:B293">
    <cfRule type="expression" dxfId="52" priority="61">
      <formula>$N288="LEVANTADO"</formula>
    </cfRule>
  </conditionalFormatting>
  <conditionalFormatting sqref="A290:B293 A288:O289">
    <cfRule type="expression" dxfId="51" priority="60">
      <formula>$O288="NÃO INDICADO"</formula>
    </cfRule>
  </conditionalFormatting>
  <conditionalFormatting sqref="A290:M293">
    <cfRule type="expression" dxfId="50" priority="59">
      <formula>$N290="LEVANTADO"</formula>
    </cfRule>
  </conditionalFormatting>
  <conditionalFormatting sqref="A290:O293">
    <cfRule type="expression" dxfId="49" priority="58">
      <formula>$O290="NÃO INDICADO"</formula>
    </cfRule>
  </conditionalFormatting>
  <conditionalFormatting sqref="A297:M297">
    <cfRule type="expression" dxfId="48" priority="57">
      <formula>$N297="LEVANTADO"</formula>
    </cfRule>
  </conditionalFormatting>
  <conditionalFormatting sqref="B297">
    <cfRule type="expression" dxfId="47" priority="56">
      <formula>$N297="LEVANTADO"</formula>
    </cfRule>
  </conditionalFormatting>
  <conditionalFormatting sqref="A297:O297">
    <cfRule type="expression" dxfId="46" priority="55">
      <formula>$O297="NÃO INDICADO"</formula>
    </cfRule>
  </conditionalFormatting>
  <conditionalFormatting sqref="A301:M318">
    <cfRule type="expression" dxfId="45" priority="54">
      <formula>$N301="LEVANTADO"</formula>
    </cfRule>
  </conditionalFormatting>
  <conditionalFormatting sqref="A319:B321 B301:B321">
    <cfRule type="expression" dxfId="44" priority="53">
      <formula>$N301="LEVANTADO"</formula>
    </cfRule>
  </conditionalFormatting>
  <conditionalFormatting sqref="A319:B321 A301:O318">
    <cfRule type="expression" dxfId="43" priority="52">
      <formula>$O301="NÃO INDICADO"</formula>
    </cfRule>
  </conditionalFormatting>
  <conditionalFormatting sqref="A319:M321">
    <cfRule type="expression" dxfId="42" priority="51">
      <formula>$N319="LEVANTADO"</formula>
    </cfRule>
  </conditionalFormatting>
  <conditionalFormatting sqref="A319:O321">
    <cfRule type="expression" dxfId="41" priority="50">
      <formula>$O319="NÃO INDICADO"</formula>
    </cfRule>
  </conditionalFormatting>
  <conditionalFormatting sqref="A337:M353 K354:K356 I354:I356">
    <cfRule type="expression" dxfId="40" priority="33">
      <formula>$N337="LEVANTADO"</formula>
    </cfRule>
  </conditionalFormatting>
  <conditionalFormatting sqref="A288:A289">
    <cfRule type="expression" dxfId="39" priority="46">
      <formula>$N288="LEVANTADO"</formula>
    </cfRule>
  </conditionalFormatting>
  <conditionalFormatting sqref="A288:A289">
    <cfRule type="expression" dxfId="38" priority="45">
      <formula>$N288="LEVANTADO"</formula>
    </cfRule>
  </conditionalFormatting>
  <conditionalFormatting sqref="A288:A289">
    <cfRule type="expression" dxfId="37" priority="44">
      <formula>$O288="NÃO INDICADO"</formula>
    </cfRule>
  </conditionalFormatting>
  <conditionalFormatting sqref="A325:M326">
    <cfRule type="expression" dxfId="36" priority="43">
      <formula>$N325="LEVANTADO"</formula>
    </cfRule>
  </conditionalFormatting>
  <conditionalFormatting sqref="B325:B326">
    <cfRule type="expression" dxfId="35" priority="42">
      <formula>$N325="LEVANTADO"</formula>
    </cfRule>
  </conditionalFormatting>
  <conditionalFormatting sqref="A325:O326">
    <cfRule type="expression" dxfId="34" priority="41">
      <formula>$O325="NÃO INDICADO"</formula>
    </cfRule>
  </conditionalFormatting>
  <conditionalFormatting sqref="A325:A326">
    <cfRule type="expression" dxfId="33" priority="40">
      <formula>$N325="LEVANTADO"</formula>
    </cfRule>
  </conditionalFormatting>
  <conditionalFormatting sqref="A325:A326">
    <cfRule type="expression" dxfId="32" priority="39">
      <formula>$N325="LEVANTADO"</formula>
    </cfRule>
  </conditionalFormatting>
  <conditionalFormatting sqref="A325:A326">
    <cfRule type="expression" dxfId="31" priority="38">
      <formula>$O325="NÃO INDICADO"</formula>
    </cfRule>
  </conditionalFormatting>
  <conditionalFormatting sqref="A330:B333">
    <cfRule type="expression" dxfId="30" priority="37">
      <formula>$N330="LEVANTADO"</formula>
    </cfRule>
  </conditionalFormatting>
  <conditionalFormatting sqref="A330:B333">
    <cfRule type="expression" dxfId="29" priority="36">
      <formula>$O330="NÃO INDICADO"</formula>
    </cfRule>
  </conditionalFormatting>
  <conditionalFormatting sqref="A330:M333">
    <cfRule type="expression" dxfId="28" priority="35">
      <formula>$N330="LEVANTADO"</formula>
    </cfRule>
  </conditionalFormatting>
  <conditionalFormatting sqref="A330:O333">
    <cfRule type="expression" dxfId="27" priority="34">
      <formula>$O330="NÃO INDICADO"</formula>
    </cfRule>
  </conditionalFormatting>
  <conditionalFormatting sqref="A354:B356 B337:B353">
    <cfRule type="expression" dxfId="26" priority="32">
      <formula>$N337="LEVANTADO"</formula>
    </cfRule>
  </conditionalFormatting>
  <conditionalFormatting sqref="A354:B356 A337:O353 K354:K356 I354:I356">
    <cfRule type="expression" dxfId="25" priority="31">
      <formula>$O337="NÃO INDICADO"</formula>
    </cfRule>
  </conditionalFormatting>
  <conditionalFormatting sqref="A354:M356">
    <cfRule type="expression" dxfId="24" priority="30">
      <formula>$N354="LEVANTADO"</formula>
    </cfRule>
  </conditionalFormatting>
  <conditionalFormatting sqref="A354:O356">
    <cfRule type="expression" dxfId="23" priority="29">
      <formula>$O354="NÃO INDICADO"</formula>
    </cfRule>
  </conditionalFormatting>
  <conditionalFormatting sqref="A360:M380 A381:B388 B361:B383">
    <cfRule type="expression" dxfId="22" priority="28">
      <formula>$N360="LEVANTADO"</formula>
    </cfRule>
  </conditionalFormatting>
  <conditionalFormatting sqref="A361:B388">
    <cfRule type="expression" dxfId="21" priority="27">
      <formula>$N361="LEVANTADO"</formula>
    </cfRule>
  </conditionalFormatting>
  <conditionalFormatting sqref="A361:O380 N381:O383 A381:B388 B361:B383">
    <cfRule type="expression" dxfId="20" priority="26">
      <formula>$O361="NÃO INDICADO"</formula>
    </cfRule>
  </conditionalFormatting>
  <conditionalFormatting sqref="A381:M387 A361:B380 A388:B388 B361:B388">
    <cfRule type="expression" dxfId="19" priority="25">
      <formula>$N361="LEVANTADO"</formula>
    </cfRule>
  </conditionalFormatting>
  <conditionalFormatting sqref="A381:O387 A361:B380 A388:B388 B361:B388">
    <cfRule type="expression" dxfId="18" priority="24">
      <formula>$O361="NÃO INDICADO"</formula>
    </cfRule>
  </conditionalFormatting>
  <conditionalFormatting sqref="A388:M388">
    <cfRule type="expression" dxfId="17" priority="23">
      <formula>$N388="LEVANTADO"</formula>
    </cfRule>
  </conditionalFormatting>
  <conditionalFormatting sqref="A388:M388 O388">
    <cfRule type="expression" dxfId="16" priority="22">
      <formula>$O388="NÃO INDICADO"</formula>
    </cfRule>
  </conditionalFormatting>
  <conditionalFormatting sqref="N388">
    <cfRule type="expression" dxfId="15" priority="21">
      <formula>$O388="NÃO INDICADO"</formula>
    </cfRule>
  </conditionalFormatting>
  <conditionalFormatting sqref="A392:A414 C392:M411">
    <cfRule type="expression" dxfId="14" priority="20">
      <formula>$N392="LEVANTADO"</formula>
    </cfRule>
  </conditionalFormatting>
  <conditionalFormatting sqref="A392:A414">
    <cfRule type="expression" dxfId="13" priority="19">
      <formula>$N392="LEVANTADO"</formula>
    </cfRule>
  </conditionalFormatting>
  <conditionalFormatting sqref="N412:O414 A392:A414 C392:O411">
    <cfRule type="expression" dxfId="12" priority="18">
      <formula>$O392="NÃO INDICADO"</formula>
    </cfRule>
  </conditionalFormatting>
  <conditionalFormatting sqref="A392:A414 C412:M414">
    <cfRule type="expression" dxfId="11" priority="17">
      <formula>$N392="LEVANTADO"</formula>
    </cfRule>
  </conditionalFormatting>
  <conditionalFormatting sqref="A392:A414 C412:O414">
    <cfRule type="expression" dxfId="10" priority="16">
      <formula>$O392="NÃO INDICADO"</formula>
    </cfRule>
  </conditionalFormatting>
  <conditionalFormatting sqref="B392:B414">
    <cfRule type="expression" dxfId="9" priority="5">
      <formula>$N392="LEVANTADO"</formula>
    </cfRule>
  </conditionalFormatting>
  <conditionalFormatting sqref="B392:B414">
    <cfRule type="expression" dxfId="8" priority="4">
      <formula>$N392="LEVANTADO"</formula>
    </cfRule>
  </conditionalFormatting>
  <conditionalFormatting sqref="B392:B414">
    <cfRule type="expression" dxfId="7" priority="3">
      <formula>$O392="NÃO INDICADO"</formula>
    </cfRule>
  </conditionalFormatting>
  <conditionalFormatting sqref="B392:B414">
    <cfRule type="expression" dxfId="6" priority="2">
      <formula>$N392="LEVANTADO"</formula>
    </cfRule>
  </conditionalFormatting>
  <conditionalFormatting sqref="B392:B414">
    <cfRule type="expression" dxfId="5" priority="1">
      <formula>$O392="NÃO INDICADO"</formula>
    </cfRule>
  </conditionalFormatting>
  <conditionalFormatting sqref="A418:B420">
    <cfRule type="expression" dxfId="4" priority="10">
      <formula>$N418="LEVANTADO"</formula>
    </cfRule>
  </conditionalFormatting>
  <conditionalFormatting sqref="A418:B420">
    <cfRule type="expression" dxfId="3" priority="9">
      <formula>$N418="LEVANTADO"</formula>
    </cfRule>
  </conditionalFormatting>
  <conditionalFormatting sqref="A418:B420">
    <cfRule type="expression" dxfId="2" priority="8">
      <formula>$O418="NÃO INDICADO"</formula>
    </cfRule>
  </conditionalFormatting>
  <conditionalFormatting sqref="A418:M420">
    <cfRule type="expression" dxfId="1" priority="7">
      <formula>$N418="LEVANTADO"</formula>
    </cfRule>
  </conditionalFormatting>
  <conditionalFormatting sqref="A418:O420">
    <cfRule type="expression" dxfId="0" priority="6">
      <formula>$O418="NÃO INDICADO"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6"/>
  <sheetViews>
    <sheetView workbookViewId="0"/>
  </sheetViews>
  <sheetFormatPr defaultRowHeight="15"/>
  <cols>
    <col min="2" max="2" width="28.42578125" customWidth="1"/>
    <col min="3" max="3" width="34.28515625" customWidth="1"/>
    <col min="4" max="4" width="38.140625" customWidth="1"/>
    <col min="5" max="5" width="37.85546875" customWidth="1"/>
    <col min="6" max="6" width="35.5703125" customWidth="1"/>
    <col min="7" max="7" width="41.42578125" customWidth="1"/>
  </cols>
  <sheetData>
    <row r="2" spans="2:7" ht="15.75" thickBot="1"/>
    <row r="3" spans="2:7" ht="32.25" thickBot="1">
      <c r="B3" s="366" t="s">
        <v>447</v>
      </c>
      <c r="C3" s="366" t="s">
        <v>448</v>
      </c>
      <c r="D3" s="366" t="s">
        <v>449</v>
      </c>
      <c r="E3" s="366" t="s">
        <v>450</v>
      </c>
      <c r="F3" s="367" t="s">
        <v>451</v>
      </c>
      <c r="G3" s="368" t="s">
        <v>452</v>
      </c>
    </row>
    <row r="4" spans="2:7" ht="36">
      <c r="B4" s="864" t="s">
        <v>431</v>
      </c>
      <c r="C4" s="374" t="s">
        <v>453</v>
      </c>
      <c r="D4" s="867" t="s">
        <v>432</v>
      </c>
      <c r="E4" s="867" t="s">
        <v>433</v>
      </c>
      <c r="F4" s="409" t="s">
        <v>434</v>
      </c>
      <c r="G4" s="380" t="s">
        <v>455</v>
      </c>
    </row>
    <row r="5" spans="2:7" ht="24">
      <c r="B5" s="865"/>
      <c r="C5" s="375" t="s">
        <v>454</v>
      </c>
      <c r="D5" s="868"/>
      <c r="E5" s="868"/>
      <c r="F5" s="409" t="s">
        <v>435</v>
      </c>
      <c r="G5" s="380" t="s">
        <v>456</v>
      </c>
    </row>
    <row r="6" spans="2:7">
      <c r="B6" s="865"/>
      <c r="C6" s="372"/>
      <c r="D6" s="868"/>
      <c r="E6" s="868"/>
      <c r="F6" s="409" t="s">
        <v>436</v>
      </c>
      <c r="G6" s="380" t="s">
        <v>457</v>
      </c>
    </row>
    <row r="7" spans="2:7">
      <c r="B7" s="865"/>
      <c r="C7" s="372"/>
      <c r="D7" s="868"/>
      <c r="E7" s="868"/>
      <c r="F7" s="409" t="s">
        <v>437</v>
      </c>
      <c r="G7" s="380" t="s">
        <v>458</v>
      </c>
    </row>
    <row r="8" spans="2:7" ht="24">
      <c r="B8" s="865"/>
      <c r="C8" s="372"/>
      <c r="D8" s="868"/>
      <c r="E8" s="868"/>
      <c r="F8" s="409" t="s">
        <v>438</v>
      </c>
      <c r="G8" s="380"/>
    </row>
    <row r="9" spans="2:7" ht="15.75" thickBot="1">
      <c r="B9" s="866"/>
      <c r="C9" s="373"/>
      <c r="D9" s="869"/>
      <c r="E9" s="869"/>
      <c r="F9" s="410" t="s">
        <v>439</v>
      </c>
      <c r="G9" s="381"/>
    </row>
    <row r="10" spans="2:7" ht="24">
      <c r="B10" s="370" t="s">
        <v>440</v>
      </c>
      <c r="C10" s="377" t="s">
        <v>460</v>
      </c>
      <c r="D10" s="870" t="s">
        <v>441</v>
      </c>
      <c r="E10" s="377" t="s">
        <v>442</v>
      </c>
      <c r="F10" s="383"/>
      <c r="G10" s="873"/>
    </row>
    <row r="11" spans="2:7" ht="15.75">
      <c r="B11" s="370"/>
      <c r="C11" s="377" t="s">
        <v>461</v>
      </c>
      <c r="D11" s="871"/>
      <c r="E11" s="377" t="s">
        <v>443</v>
      </c>
      <c r="F11" s="383"/>
      <c r="G11" s="874"/>
    </row>
    <row r="12" spans="2:7" ht="15.75">
      <c r="B12" s="370" t="s">
        <v>459</v>
      </c>
      <c r="C12" s="377" t="s">
        <v>462</v>
      </c>
      <c r="D12" s="871"/>
      <c r="E12" s="372"/>
      <c r="F12" s="383"/>
      <c r="G12" s="874"/>
    </row>
    <row r="13" spans="2:7" ht="15.75">
      <c r="B13" s="370"/>
      <c r="C13" s="372"/>
      <c r="D13" s="871"/>
      <c r="E13" s="372"/>
      <c r="F13" s="383"/>
      <c r="G13" s="874"/>
    </row>
    <row r="14" spans="2:7" ht="15.75" thickBot="1">
      <c r="B14" s="373"/>
      <c r="C14" s="373"/>
      <c r="D14" s="872"/>
      <c r="E14" s="373"/>
      <c r="F14" s="384" t="s">
        <v>463</v>
      </c>
      <c r="G14" s="875"/>
    </row>
    <row r="15" spans="2:7" ht="24">
      <c r="B15" s="371"/>
      <c r="C15" s="870" t="s">
        <v>464</v>
      </c>
      <c r="D15" s="870" t="s">
        <v>446</v>
      </c>
      <c r="E15" s="377" t="s">
        <v>465</v>
      </c>
      <c r="F15" s="876" t="s">
        <v>469</v>
      </c>
      <c r="G15" s="876"/>
    </row>
    <row r="16" spans="2:7" ht="15.75">
      <c r="B16" s="370" t="s">
        <v>444</v>
      </c>
      <c r="C16" s="871"/>
      <c r="D16" s="871"/>
      <c r="E16" s="377" t="s">
        <v>466</v>
      </c>
      <c r="F16" s="877"/>
      <c r="G16" s="877"/>
    </row>
    <row r="17" spans="2:7" ht="24">
      <c r="B17" s="370" t="s">
        <v>445</v>
      </c>
      <c r="C17" s="871"/>
      <c r="D17" s="871"/>
      <c r="E17" s="377" t="s">
        <v>467</v>
      </c>
      <c r="F17" s="877"/>
      <c r="G17" s="877"/>
    </row>
    <row r="18" spans="2:7">
      <c r="B18" s="372"/>
      <c r="C18" s="871"/>
      <c r="D18" s="871"/>
      <c r="E18" s="377" t="s">
        <v>468</v>
      </c>
      <c r="F18" s="877"/>
      <c r="G18" s="877"/>
    </row>
    <row r="19" spans="2:7" ht="15.75" thickBot="1">
      <c r="B19" s="373"/>
      <c r="C19" s="872"/>
      <c r="D19" s="872"/>
      <c r="E19" s="386"/>
      <c r="F19" s="878"/>
      <c r="G19" s="878"/>
    </row>
    <row r="20" spans="2:7">
      <c r="B20" s="371"/>
      <c r="C20" s="377" t="s">
        <v>460</v>
      </c>
      <c r="D20" s="870" t="s">
        <v>473</v>
      </c>
      <c r="E20" s="870" t="s">
        <v>474</v>
      </c>
      <c r="F20" s="387"/>
      <c r="G20" s="876"/>
    </row>
    <row r="21" spans="2:7" ht="15.75">
      <c r="B21" s="370" t="s">
        <v>470</v>
      </c>
      <c r="C21" s="377" t="s">
        <v>471</v>
      </c>
      <c r="D21" s="871"/>
      <c r="E21" s="871"/>
      <c r="F21" s="387" t="s">
        <v>475</v>
      </c>
      <c r="G21" s="877"/>
    </row>
    <row r="22" spans="2:7" ht="15.75" thickBot="1">
      <c r="B22" s="382"/>
      <c r="C22" s="386" t="s">
        <v>472</v>
      </c>
      <c r="D22" s="872"/>
      <c r="E22" s="872"/>
      <c r="F22" s="389"/>
      <c r="G22" s="878"/>
    </row>
    <row r="23" spans="2:7" ht="24">
      <c r="B23" s="390" t="s">
        <v>476</v>
      </c>
      <c r="C23" s="376" t="s">
        <v>460</v>
      </c>
      <c r="D23" s="377" t="s">
        <v>479</v>
      </c>
      <c r="E23" s="879" t="s">
        <v>482</v>
      </c>
      <c r="F23" s="378" t="s">
        <v>483</v>
      </c>
      <c r="G23" s="380" t="s">
        <v>489</v>
      </c>
    </row>
    <row r="24" spans="2:7">
      <c r="B24" s="391"/>
      <c r="C24" s="376" t="s">
        <v>471</v>
      </c>
      <c r="D24" s="377" t="s">
        <v>480</v>
      </c>
      <c r="E24" s="880"/>
      <c r="F24" s="378" t="s">
        <v>484</v>
      </c>
      <c r="G24" s="380"/>
    </row>
    <row r="25" spans="2:7">
      <c r="B25" s="391"/>
      <c r="C25" s="376" t="s">
        <v>478</v>
      </c>
      <c r="D25" s="377" t="s">
        <v>481</v>
      </c>
      <c r="E25" s="880"/>
      <c r="F25" s="378" t="s">
        <v>485</v>
      </c>
      <c r="G25" s="380" t="s">
        <v>457</v>
      </c>
    </row>
    <row r="26" spans="2:7">
      <c r="B26" s="391"/>
      <c r="C26" s="369"/>
      <c r="D26" s="372"/>
      <c r="E26" s="880"/>
      <c r="F26" s="378" t="s">
        <v>486</v>
      </c>
      <c r="G26" s="380" t="s">
        <v>490</v>
      </c>
    </row>
    <row r="27" spans="2:7">
      <c r="B27" s="391"/>
      <c r="C27" s="369"/>
      <c r="D27" s="372"/>
      <c r="E27" s="880"/>
      <c r="F27" s="378"/>
      <c r="G27" s="380" t="s">
        <v>491</v>
      </c>
    </row>
    <row r="28" spans="2:7">
      <c r="B28" s="391"/>
      <c r="C28" s="369"/>
      <c r="D28" s="372"/>
      <c r="E28" s="880"/>
      <c r="F28" s="378"/>
      <c r="G28" s="388"/>
    </row>
    <row r="29" spans="2:7">
      <c r="B29" s="391"/>
      <c r="C29" s="369"/>
      <c r="D29" s="372"/>
      <c r="E29" s="880"/>
      <c r="F29" s="387" t="s">
        <v>487</v>
      </c>
      <c r="G29" s="394"/>
    </row>
    <row r="30" spans="2:7">
      <c r="B30" s="391"/>
      <c r="C30" s="369"/>
      <c r="D30" s="372"/>
      <c r="E30" s="880"/>
      <c r="F30" s="378" t="s">
        <v>488</v>
      </c>
      <c r="G30" s="394"/>
    </row>
    <row r="31" spans="2:7" ht="16.5" thickBot="1">
      <c r="B31" s="392" t="s">
        <v>477</v>
      </c>
      <c r="C31" s="393"/>
      <c r="D31" s="373"/>
      <c r="E31" s="881"/>
      <c r="F31" s="389"/>
      <c r="G31" s="381"/>
    </row>
    <row r="32" spans="2:7">
      <c r="B32" s="882" t="s">
        <v>492</v>
      </c>
      <c r="C32" s="885" t="s">
        <v>493</v>
      </c>
      <c r="D32" s="867" t="s">
        <v>494</v>
      </c>
      <c r="E32" s="377" t="s">
        <v>495</v>
      </c>
      <c r="F32" s="876" t="s">
        <v>498</v>
      </c>
      <c r="G32" s="876"/>
    </row>
    <row r="33" spans="2:7">
      <c r="B33" s="883"/>
      <c r="C33" s="886"/>
      <c r="D33" s="868"/>
      <c r="E33" s="377" t="s">
        <v>496</v>
      </c>
      <c r="F33" s="877"/>
      <c r="G33" s="877"/>
    </row>
    <row r="34" spans="2:7" ht="15.75" thickBot="1">
      <c r="B34" s="884"/>
      <c r="C34" s="887"/>
      <c r="D34" s="869"/>
      <c r="E34" s="386" t="s">
        <v>497</v>
      </c>
      <c r="F34" s="878"/>
      <c r="G34" s="878"/>
    </row>
    <row r="35" spans="2:7" ht="16.5" thickBot="1">
      <c r="B35" s="396" t="s">
        <v>499</v>
      </c>
      <c r="C35" s="397"/>
      <c r="D35" s="382"/>
      <c r="E35" s="386"/>
      <c r="F35" s="398"/>
      <c r="G35" s="399" t="s">
        <v>500</v>
      </c>
    </row>
    <row r="36" spans="2:7">
      <c r="B36" s="864" t="s">
        <v>501</v>
      </c>
      <c r="C36" s="377" t="s">
        <v>460</v>
      </c>
      <c r="D36" s="870" t="s">
        <v>441</v>
      </c>
      <c r="E36" s="377" t="s">
        <v>502</v>
      </c>
      <c r="F36" s="876" t="s">
        <v>498</v>
      </c>
      <c r="G36" s="876"/>
    </row>
    <row r="37" spans="2:7">
      <c r="B37" s="865"/>
      <c r="C37" s="377" t="s">
        <v>471</v>
      </c>
      <c r="D37" s="871"/>
      <c r="E37" s="377" t="s">
        <v>503</v>
      </c>
      <c r="F37" s="877"/>
      <c r="G37" s="877"/>
    </row>
    <row r="38" spans="2:7">
      <c r="B38" s="865"/>
      <c r="C38" s="377" t="s">
        <v>462</v>
      </c>
      <c r="D38" s="871"/>
      <c r="E38" s="377" t="s">
        <v>504</v>
      </c>
      <c r="F38" s="877"/>
      <c r="G38" s="877"/>
    </row>
    <row r="39" spans="2:7" ht="15.75" thickBot="1">
      <c r="B39" s="866"/>
      <c r="C39" s="373"/>
      <c r="D39" s="872"/>
      <c r="E39" s="373"/>
      <c r="F39" s="878"/>
      <c r="G39" s="878"/>
    </row>
    <row r="40" spans="2:7">
      <c r="B40" s="864" t="s">
        <v>505</v>
      </c>
      <c r="C40" s="888"/>
      <c r="D40" s="890"/>
      <c r="E40" s="377" t="s">
        <v>506</v>
      </c>
      <c r="F40" s="876"/>
      <c r="G40" s="876"/>
    </row>
    <row r="41" spans="2:7" ht="15.75" thickBot="1">
      <c r="B41" s="866"/>
      <c r="C41" s="889"/>
      <c r="D41" s="891"/>
      <c r="E41" s="386" t="s">
        <v>507</v>
      </c>
      <c r="F41" s="878"/>
      <c r="G41" s="878"/>
    </row>
    <row r="42" spans="2:7" ht="15.75" thickBot="1"/>
    <row r="43" spans="2:7" ht="32.25" thickBot="1">
      <c r="B43" s="366" t="s">
        <v>447</v>
      </c>
      <c r="C43" s="366" t="s">
        <v>448</v>
      </c>
      <c r="D43" s="366" t="s">
        <v>449</v>
      </c>
      <c r="E43" s="366" t="s">
        <v>450</v>
      </c>
      <c r="F43" s="367" t="s">
        <v>451</v>
      </c>
      <c r="G43" s="368" t="s">
        <v>452</v>
      </c>
    </row>
    <row r="44" spans="2:7" ht="36">
      <c r="B44" s="864" t="s">
        <v>431</v>
      </c>
      <c r="C44" s="374" t="s">
        <v>453</v>
      </c>
      <c r="D44" s="407" t="s">
        <v>508</v>
      </c>
      <c r="E44" s="377" t="s">
        <v>510</v>
      </c>
      <c r="F44" s="409" t="s">
        <v>434</v>
      </c>
      <c r="G44" s="380" t="s">
        <v>455</v>
      </c>
    </row>
    <row r="45" spans="2:7">
      <c r="B45" s="865"/>
      <c r="C45" s="375" t="s">
        <v>454</v>
      </c>
      <c r="D45" s="377" t="s">
        <v>509</v>
      </c>
      <c r="E45" s="377" t="s">
        <v>511</v>
      </c>
      <c r="F45" s="409" t="s">
        <v>435</v>
      </c>
      <c r="G45" s="380" t="s">
        <v>513</v>
      </c>
    </row>
    <row r="46" spans="2:7">
      <c r="B46" s="865"/>
      <c r="C46" s="372"/>
      <c r="D46" s="377" t="s">
        <v>437</v>
      </c>
      <c r="E46" s="377" t="s">
        <v>512</v>
      </c>
      <c r="F46" s="409" t="s">
        <v>436</v>
      </c>
      <c r="G46" s="380" t="s">
        <v>457</v>
      </c>
    </row>
    <row r="47" spans="2:7">
      <c r="B47" s="865"/>
      <c r="C47" s="372"/>
      <c r="D47" s="372"/>
      <c r="E47" s="372"/>
      <c r="F47" s="409" t="s">
        <v>437</v>
      </c>
      <c r="G47" s="380" t="s">
        <v>458</v>
      </c>
    </row>
    <row r="48" spans="2:7" ht="24">
      <c r="B48" s="865"/>
      <c r="C48" s="372"/>
      <c r="D48" s="372"/>
      <c r="E48" s="372"/>
      <c r="F48" s="409" t="s">
        <v>438</v>
      </c>
      <c r="G48" s="380"/>
    </row>
    <row r="49" spans="2:7" ht="15.75" thickBot="1">
      <c r="B49" s="866"/>
      <c r="C49" s="373"/>
      <c r="D49" s="373"/>
      <c r="E49" s="373"/>
      <c r="F49" s="410" t="s">
        <v>439</v>
      </c>
      <c r="G49" s="381"/>
    </row>
    <row r="50" spans="2:7" ht="15.75">
      <c r="B50" s="370" t="s">
        <v>476</v>
      </c>
      <c r="C50" s="377" t="s">
        <v>460</v>
      </c>
      <c r="D50" s="377" t="s">
        <v>516</v>
      </c>
      <c r="E50" s="377" t="s">
        <v>510</v>
      </c>
      <c r="F50" s="378" t="s">
        <v>483</v>
      </c>
      <c r="G50" s="873"/>
    </row>
    <row r="51" spans="2:7">
      <c r="B51" s="371"/>
      <c r="C51" s="377" t="s">
        <v>471</v>
      </c>
      <c r="D51" s="377" t="s">
        <v>517</v>
      </c>
      <c r="E51" s="377" t="s">
        <v>518</v>
      </c>
      <c r="F51" s="378" t="s">
        <v>520</v>
      </c>
      <c r="G51" s="874"/>
    </row>
    <row r="52" spans="2:7" ht="15.75">
      <c r="B52" s="370" t="s">
        <v>514</v>
      </c>
      <c r="C52" s="377" t="s">
        <v>478</v>
      </c>
      <c r="D52" s="377" t="s">
        <v>481</v>
      </c>
      <c r="E52" s="377" t="s">
        <v>519</v>
      </c>
      <c r="F52" s="378" t="s">
        <v>521</v>
      </c>
      <c r="G52" s="874"/>
    </row>
    <row r="53" spans="2:7">
      <c r="B53" s="371"/>
      <c r="C53" s="372"/>
      <c r="D53" s="372"/>
      <c r="E53" s="372"/>
      <c r="F53" s="378"/>
      <c r="G53" s="874"/>
    </row>
    <row r="54" spans="2:7" ht="15.75">
      <c r="B54" s="370" t="s">
        <v>515</v>
      </c>
      <c r="C54" s="372"/>
      <c r="D54" s="372"/>
      <c r="E54" s="372"/>
      <c r="F54" s="402"/>
      <c r="G54" s="874"/>
    </row>
    <row r="55" spans="2:7" ht="16.5" thickBot="1">
      <c r="B55" s="396"/>
      <c r="C55" s="373"/>
      <c r="D55" s="373"/>
      <c r="E55" s="373"/>
      <c r="F55" s="389"/>
      <c r="G55" s="875"/>
    </row>
    <row r="56" spans="2:7" ht="24">
      <c r="B56" s="864" t="s">
        <v>522</v>
      </c>
      <c r="C56" s="377" t="s">
        <v>460</v>
      </c>
      <c r="D56" s="377" t="s">
        <v>479</v>
      </c>
      <c r="E56" s="377" t="s">
        <v>510</v>
      </c>
      <c r="F56" s="378" t="s">
        <v>483</v>
      </c>
      <c r="G56" s="380" t="s">
        <v>525</v>
      </c>
    </row>
    <row r="57" spans="2:7">
      <c r="B57" s="865"/>
      <c r="C57" s="377" t="s">
        <v>471</v>
      </c>
      <c r="D57" s="377" t="s">
        <v>523</v>
      </c>
      <c r="E57" s="377" t="s">
        <v>518</v>
      </c>
      <c r="F57" s="378" t="s">
        <v>520</v>
      </c>
      <c r="G57" s="380"/>
    </row>
    <row r="58" spans="2:7" ht="24">
      <c r="B58" s="865"/>
      <c r="C58" s="377" t="s">
        <v>462</v>
      </c>
      <c r="D58" s="377" t="s">
        <v>524</v>
      </c>
      <c r="E58" s="377" t="s">
        <v>519</v>
      </c>
      <c r="F58" s="378" t="s">
        <v>486</v>
      </c>
      <c r="G58" s="380" t="s">
        <v>489</v>
      </c>
    </row>
    <row r="59" spans="2:7">
      <c r="B59" s="865"/>
      <c r="C59" s="372"/>
      <c r="D59" s="372"/>
      <c r="E59" s="372"/>
      <c r="F59" s="378"/>
      <c r="G59" s="380"/>
    </row>
    <row r="60" spans="2:7">
      <c r="B60" s="865"/>
      <c r="C60" s="372"/>
      <c r="D60" s="372"/>
      <c r="E60" s="372"/>
      <c r="F60" s="378"/>
      <c r="G60" s="380"/>
    </row>
    <row r="61" spans="2:7">
      <c r="B61" s="865"/>
      <c r="C61" s="372"/>
      <c r="D61" s="372"/>
      <c r="E61" s="372"/>
      <c r="F61" s="378"/>
      <c r="G61" s="380" t="s">
        <v>457</v>
      </c>
    </row>
    <row r="62" spans="2:7">
      <c r="B62" s="865"/>
      <c r="C62" s="372"/>
      <c r="D62" s="372"/>
      <c r="E62" s="372"/>
      <c r="F62" s="402"/>
      <c r="G62" s="380" t="s">
        <v>526</v>
      </c>
    </row>
    <row r="63" spans="2:7" ht="15.75" thickBot="1">
      <c r="B63" s="866"/>
      <c r="C63" s="373"/>
      <c r="D63" s="373"/>
      <c r="E63" s="373"/>
      <c r="F63" s="389"/>
      <c r="G63" s="399"/>
    </row>
    <row r="64" spans="2:7" ht="24">
      <c r="B64" s="370" t="s">
        <v>527</v>
      </c>
      <c r="C64" s="377" t="s">
        <v>460</v>
      </c>
      <c r="D64" s="377" t="s">
        <v>479</v>
      </c>
      <c r="E64" s="377" t="s">
        <v>510</v>
      </c>
      <c r="F64" s="378" t="s">
        <v>483</v>
      </c>
      <c r="G64" s="380" t="s">
        <v>531</v>
      </c>
    </row>
    <row r="65" spans="2:7" ht="48">
      <c r="B65" s="370"/>
      <c r="C65" s="377" t="s">
        <v>471</v>
      </c>
      <c r="D65" s="377" t="s">
        <v>523</v>
      </c>
      <c r="E65" s="377" t="s">
        <v>518</v>
      </c>
      <c r="F65" s="378" t="s">
        <v>529</v>
      </c>
      <c r="G65" s="380" t="s">
        <v>532</v>
      </c>
    </row>
    <row r="66" spans="2:7" ht="15.75">
      <c r="B66" s="370"/>
      <c r="C66" s="377" t="s">
        <v>462</v>
      </c>
      <c r="D66" s="377" t="s">
        <v>524</v>
      </c>
      <c r="E66" s="377" t="s">
        <v>519</v>
      </c>
      <c r="F66" s="378" t="s">
        <v>530</v>
      </c>
      <c r="G66" s="380" t="s">
        <v>457</v>
      </c>
    </row>
    <row r="67" spans="2:7" ht="15.75">
      <c r="B67" s="370" t="s">
        <v>528</v>
      </c>
      <c r="C67" s="372"/>
      <c r="D67" s="372"/>
      <c r="E67" s="372"/>
      <c r="F67" s="378" t="s">
        <v>486</v>
      </c>
      <c r="G67" s="380" t="s">
        <v>526</v>
      </c>
    </row>
    <row r="68" spans="2:7">
      <c r="B68" s="372"/>
      <c r="C68" s="372"/>
      <c r="D68" s="372"/>
      <c r="E68" s="372"/>
      <c r="F68" s="378"/>
      <c r="G68" s="380"/>
    </row>
    <row r="69" spans="2:7">
      <c r="B69" s="372"/>
      <c r="C69" s="372"/>
      <c r="D69" s="372"/>
      <c r="E69" s="372"/>
      <c r="F69" s="378"/>
      <c r="G69" s="380" t="s">
        <v>533</v>
      </c>
    </row>
    <row r="70" spans="2:7" ht="15.75" thickBot="1">
      <c r="B70" s="373"/>
      <c r="C70" s="373"/>
      <c r="D70" s="373"/>
      <c r="E70" s="373"/>
      <c r="F70" s="379"/>
      <c r="G70" s="399"/>
    </row>
    <row r="71" spans="2:7" ht="24">
      <c r="B71" s="371"/>
      <c r="C71" s="870" t="s">
        <v>464</v>
      </c>
      <c r="D71" s="870" t="s">
        <v>446</v>
      </c>
      <c r="E71" s="377" t="s">
        <v>465</v>
      </c>
      <c r="F71" s="876" t="s">
        <v>534</v>
      </c>
      <c r="G71" s="876"/>
    </row>
    <row r="72" spans="2:7" ht="15.75">
      <c r="B72" s="370" t="s">
        <v>444</v>
      </c>
      <c r="C72" s="871"/>
      <c r="D72" s="871"/>
      <c r="E72" s="377" t="s">
        <v>466</v>
      </c>
      <c r="F72" s="877"/>
      <c r="G72" s="877"/>
    </row>
    <row r="73" spans="2:7" ht="24">
      <c r="B73" s="370" t="s">
        <v>445</v>
      </c>
      <c r="C73" s="871"/>
      <c r="D73" s="871"/>
      <c r="E73" s="377" t="s">
        <v>467</v>
      </c>
      <c r="F73" s="877"/>
      <c r="G73" s="877"/>
    </row>
    <row r="74" spans="2:7" ht="15.75" thickBot="1">
      <c r="B74" s="373"/>
      <c r="C74" s="872"/>
      <c r="D74" s="872"/>
      <c r="E74" s="386" t="s">
        <v>468</v>
      </c>
      <c r="F74" s="878"/>
      <c r="G74" s="878"/>
    </row>
    <row r="75" spans="2:7">
      <c r="B75" s="371"/>
      <c r="C75" s="377" t="s">
        <v>460</v>
      </c>
      <c r="D75" s="888" t="s">
        <v>473</v>
      </c>
      <c r="E75" s="888" t="s">
        <v>474</v>
      </c>
      <c r="F75" s="387"/>
      <c r="G75" s="876"/>
    </row>
    <row r="76" spans="2:7" ht="15.75">
      <c r="B76" s="370" t="s">
        <v>470</v>
      </c>
      <c r="C76" s="377" t="s">
        <v>471</v>
      </c>
      <c r="D76" s="892"/>
      <c r="E76" s="892"/>
      <c r="F76" s="387" t="s">
        <v>475</v>
      </c>
      <c r="G76" s="877"/>
    </row>
    <row r="77" spans="2:7" ht="15.75" thickBot="1">
      <c r="B77" s="382"/>
      <c r="C77" s="386" t="s">
        <v>462</v>
      </c>
      <c r="D77" s="889"/>
      <c r="E77" s="889"/>
      <c r="F77" s="389"/>
      <c r="G77" s="878"/>
    </row>
    <row r="78" spans="2:7" ht="24">
      <c r="B78" s="390"/>
      <c r="C78" s="376" t="s">
        <v>460</v>
      </c>
      <c r="D78" s="870" t="s">
        <v>441</v>
      </c>
      <c r="E78" s="377" t="s">
        <v>442</v>
      </c>
      <c r="F78" s="870"/>
      <c r="G78" s="876"/>
    </row>
    <row r="79" spans="2:7" ht="15.75">
      <c r="B79" s="390" t="s">
        <v>459</v>
      </c>
      <c r="C79" s="376" t="s">
        <v>461</v>
      </c>
      <c r="D79" s="871"/>
      <c r="E79" s="377" t="s">
        <v>443</v>
      </c>
      <c r="F79" s="871"/>
      <c r="G79" s="877"/>
    </row>
    <row r="80" spans="2:7" ht="15.75">
      <c r="B80" s="390"/>
      <c r="C80" s="376" t="s">
        <v>462</v>
      </c>
      <c r="D80" s="871"/>
      <c r="E80" s="372"/>
      <c r="F80" s="871"/>
      <c r="G80" s="877"/>
    </row>
    <row r="81" spans="2:7">
      <c r="B81" s="403"/>
      <c r="C81" s="369"/>
      <c r="D81" s="871"/>
      <c r="E81" s="372"/>
      <c r="F81" s="871"/>
      <c r="G81" s="877"/>
    </row>
    <row r="82" spans="2:7" ht="15.75" thickBot="1">
      <c r="B82" s="395"/>
      <c r="C82" s="393"/>
      <c r="D82" s="872"/>
      <c r="E82" s="373"/>
      <c r="F82" s="872"/>
      <c r="G82" s="878"/>
    </row>
    <row r="83" spans="2:7" ht="15.75">
      <c r="B83" s="390" t="s">
        <v>535</v>
      </c>
      <c r="C83" s="885" t="s">
        <v>493</v>
      </c>
      <c r="D83" s="867" t="s">
        <v>494</v>
      </c>
      <c r="E83" s="377" t="s">
        <v>495</v>
      </c>
      <c r="F83" s="876" t="s">
        <v>539</v>
      </c>
      <c r="G83" s="876"/>
    </row>
    <row r="84" spans="2:7" ht="15.75">
      <c r="B84" s="390" t="s">
        <v>536</v>
      </c>
      <c r="C84" s="886"/>
      <c r="D84" s="868"/>
      <c r="E84" s="377" t="s">
        <v>538</v>
      </c>
      <c r="F84" s="877"/>
      <c r="G84" s="877"/>
    </row>
    <row r="85" spans="2:7" ht="15.75">
      <c r="B85" s="390" t="s">
        <v>537</v>
      </c>
      <c r="C85" s="886"/>
      <c r="D85" s="868"/>
      <c r="E85" s="372"/>
      <c r="F85" s="877"/>
      <c r="G85" s="877"/>
    </row>
    <row r="86" spans="2:7" ht="15.75">
      <c r="B86" s="390"/>
      <c r="C86" s="886"/>
      <c r="D86" s="868"/>
      <c r="E86" s="372"/>
      <c r="F86" s="877"/>
      <c r="G86" s="877"/>
    </row>
    <row r="87" spans="2:7" ht="15.75" thickBot="1">
      <c r="B87" s="404"/>
      <c r="C87" s="887"/>
      <c r="D87" s="869"/>
      <c r="E87" s="373"/>
      <c r="F87" s="878"/>
      <c r="G87" s="878"/>
    </row>
    <row r="88" spans="2:7" ht="16.5" thickBot="1">
      <c r="B88" s="396" t="s">
        <v>540</v>
      </c>
      <c r="C88" s="397"/>
      <c r="D88" s="382"/>
      <c r="E88" s="386"/>
      <c r="F88" s="398"/>
      <c r="G88" s="399" t="s">
        <v>500</v>
      </c>
    </row>
    <row r="89" spans="2:7">
      <c r="B89" s="864" t="s">
        <v>541</v>
      </c>
      <c r="C89" s="377" t="s">
        <v>460</v>
      </c>
      <c r="D89" s="870" t="s">
        <v>441</v>
      </c>
      <c r="E89" s="401" t="s">
        <v>542</v>
      </c>
      <c r="F89" s="876" t="s">
        <v>544</v>
      </c>
      <c r="G89" s="876"/>
    </row>
    <row r="90" spans="2:7">
      <c r="B90" s="865"/>
      <c r="C90" s="377" t="s">
        <v>471</v>
      </c>
      <c r="D90" s="871"/>
      <c r="E90" s="401" t="s">
        <v>543</v>
      </c>
      <c r="F90" s="877"/>
      <c r="G90" s="877"/>
    </row>
    <row r="91" spans="2:7">
      <c r="B91" s="865"/>
      <c r="C91" s="377" t="s">
        <v>462</v>
      </c>
      <c r="D91" s="871"/>
      <c r="E91" s="372"/>
      <c r="F91" s="877"/>
      <c r="G91" s="877"/>
    </row>
    <row r="92" spans="2:7" ht="15.75" thickBot="1">
      <c r="B92" s="866"/>
      <c r="C92" s="373"/>
      <c r="D92" s="872"/>
      <c r="E92" s="373"/>
      <c r="F92" s="878"/>
      <c r="G92" s="878"/>
    </row>
    <row r="93" spans="2:7" ht="15.75" thickBot="1"/>
    <row r="94" spans="2:7" ht="32.25" thickBot="1">
      <c r="B94" s="366" t="s">
        <v>447</v>
      </c>
      <c r="C94" s="366" t="s">
        <v>448</v>
      </c>
      <c r="D94" s="366" t="s">
        <v>449</v>
      </c>
      <c r="E94" s="366" t="s">
        <v>450</v>
      </c>
      <c r="F94" s="367" t="s">
        <v>451</v>
      </c>
      <c r="G94" s="368" t="s">
        <v>452</v>
      </c>
    </row>
    <row r="95" spans="2:7" ht="36">
      <c r="B95" s="864" t="s">
        <v>431</v>
      </c>
      <c r="C95" s="374" t="s">
        <v>453</v>
      </c>
      <c r="D95" s="867" t="s">
        <v>545</v>
      </c>
      <c r="E95" s="377" t="s">
        <v>510</v>
      </c>
      <c r="F95" s="409" t="s">
        <v>434</v>
      </c>
      <c r="G95" s="380" t="s">
        <v>547</v>
      </c>
    </row>
    <row r="96" spans="2:7">
      <c r="B96" s="865"/>
      <c r="C96" s="375" t="s">
        <v>454</v>
      </c>
      <c r="D96" s="868"/>
      <c r="E96" s="377" t="s">
        <v>518</v>
      </c>
      <c r="F96" s="409" t="s">
        <v>435</v>
      </c>
      <c r="G96" s="380" t="s">
        <v>457</v>
      </c>
    </row>
    <row r="97" spans="2:7">
      <c r="B97" s="865"/>
      <c r="C97" s="372"/>
      <c r="D97" s="868"/>
      <c r="E97" s="377" t="s">
        <v>519</v>
      </c>
      <c r="F97" s="409" t="s">
        <v>436</v>
      </c>
      <c r="G97" s="380" t="s">
        <v>458</v>
      </c>
    </row>
    <row r="98" spans="2:7">
      <c r="B98" s="865"/>
      <c r="C98" s="372"/>
      <c r="D98" s="868"/>
      <c r="E98" s="372"/>
      <c r="F98" s="409" t="s">
        <v>437</v>
      </c>
      <c r="G98" s="380"/>
    </row>
    <row r="99" spans="2:7" ht="24">
      <c r="B99" s="865"/>
      <c r="C99" s="372"/>
      <c r="D99" s="868"/>
      <c r="E99" s="372"/>
      <c r="F99" s="409" t="s">
        <v>438</v>
      </c>
      <c r="G99" s="394"/>
    </row>
    <row r="100" spans="2:7" ht="15.75" thickBot="1">
      <c r="B100" s="866"/>
      <c r="C100" s="373"/>
      <c r="D100" s="869"/>
      <c r="E100" s="373"/>
      <c r="F100" s="410" t="s">
        <v>546</v>
      </c>
      <c r="G100" s="381"/>
    </row>
    <row r="101" spans="2:7" ht="24">
      <c r="B101" s="370" t="s">
        <v>476</v>
      </c>
      <c r="C101" s="377" t="s">
        <v>460</v>
      </c>
      <c r="D101" s="377" t="s">
        <v>479</v>
      </c>
      <c r="E101" s="377" t="s">
        <v>510</v>
      </c>
      <c r="F101" s="378" t="s">
        <v>483</v>
      </c>
      <c r="G101" s="380" t="s">
        <v>489</v>
      </c>
    </row>
    <row r="102" spans="2:7" ht="15.75">
      <c r="B102" s="370" t="s">
        <v>548</v>
      </c>
      <c r="C102" s="377" t="s">
        <v>471</v>
      </c>
      <c r="D102" s="377" t="s">
        <v>523</v>
      </c>
      <c r="E102" s="377" t="s">
        <v>518</v>
      </c>
      <c r="F102" s="378" t="s">
        <v>529</v>
      </c>
      <c r="G102" s="380"/>
    </row>
    <row r="103" spans="2:7" ht="15.75">
      <c r="B103" s="370" t="s">
        <v>549</v>
      </c>
      <c r="C103" s="377" t="s">
        <v>478</v>
      </c>
      <c r="D103" s="377" t="s">
        <v>524</v>
      </c>
      <c r="E103" s="377" t="s">
        <v>519</v>
      </c>
      <c r="F103" s="378" t="s">
        <v>550</v>
      </c>
      <c r="G103" s="380" t="s">
        <v>457</v>
      </c>
    </row>
    <row r="104" spans="2:7" ht="15.75">
      <c r="B104" s="370"/>
      <c r="C104" s="372"/>
      <c r="D104" s="372"/>
      <c r="E104" s="372"/>
      <c r="F104" s="378" t="s">
        <v>486</v>
      </c>
      <c r="G104" s="380" t="s">
        <v>526</v>
      </c>
    </row>
    <row r="105" spans="2:7" ht="15.75">
      <c r="B105" s="370" t="s">
        <v>515</v>
      </c>
      <c r="C105" s="372"/>
      <c r="D105" s="372"/>
      <c r="E105" s="372"/>
      <c r="F105" s="378"/>
      <c r="G105" s="385"/>
    </row>
    <row r="106" spans="2:7">
      <c r="B106" s="372"/>
      <c r="C106" s="372"/>
      <c r="D106" s="372"/>
      <c r="E106" s="372"/>
      <c r="F106" s="378"/>
      <c r="G106" s="394"/>
    </row>
    <row r="107" spans="2:7" ht="15.75" thickBot="1">
      <c r="B107" s="373"/>
      <c r="C107" s="373"/>
      <c r="D107" s="373"/>
      <c r="E107" s="373"/>
      <c r="F107" s="379"/>
      <c r="G107" s="381"/>
    </row>
    <row r="108" spans="2:7" ht="24">
      <c r="B108" s="371"/>
      <c r="C108" s="870" t="s">
        <v>464</v>
      </c>
      <c r="D108" s="377" t="s">
        <v>553</v>
      </c>
      <c r="E108" s="377" t="s">
        <v>465</v>
      </c>
      <c r="F108" s="876" t="s">
        <v>534</v>
      </c>
      <c r="G108" s="876"/>
    </row>
    <row r="109" spans="2:7" ht="15.75">
      <c r="B109" s="370" t="s">
        <v>551</v>
      </c>
      <c r="C109" s="871"/>
      <c r="D109" s="377" t="s">
        <v>554</v>
      </c>
      <c r="E109" s="377" t="s">
        <v>466</v>
      </c>
      <c r="F109" s="877"/>
      <c r="G109" s="877"/>
    </row>
    <row r="110" spans="2:7" ht="24">
      <c r="B110" s="370" t="s">
        <v>552</v>
      </c>
      <c r="C110" s="871"/>
      <c r="D110" s="372"/>
      <c r="E110" s="377" t="s">
        <v>467</v>
      </c>
      <c r="F110" s="877"/>
      <c r="G110" s="877"/>
    </row>
    <row r="111" spans="2:7" ht="15.75">
      <c r="B111" s="370" t="s">
        <v>444</v>
      </c>
      <c r="C111" s="871"/>
      <c r="D111" s="372"/>
      <c r="E111" s="377" t="s">
        <v>468</v>
      </c>
      <c r="F111" s="877"/>
      <c r="G111" s="877"/>
    </row>
    <row r="112" spans="2:7">
      <c r="B112" s="371"/>
      <c r="C112" s="871"/>
      <c r="D112" s="372"/>
      <c r="E112" s="377"/>
      <c r="F112" s="877"/>
      <c r="G112" s="877"/>
    </row>
    <row r="113" spans="2:7">
      <c r="B113" s="372"/>
      <c r="C113" s="871"/>
      <c r="D113" s="372"/>
      <c r="E113" s="377"/>
      <c r="F113" s="877"/>
      <c r="G113" s="877"/>
    </row>
    <row r="114" spans="2:7">
      <c r="B114" s="372"/>
      <c r="C114" s="871"/>
      <c r="D114" s="372"/>
      <c r="E114" s="377"/>
      <c r="F114" s="877"/>
      <c r="G114" s="877"/>
    </row>
    <row r="115" spans="2:7" ht="24">
      <c r="B115" s="372"/>
      <c r="C115" s="871"/>
      <c r="D115" s="372"/>
      <c r="E115" s="407" t="s">
        <v>433</v>
      </c>
      <c r="F115" s="877"/>
      <c r="G115" s="877"/>
    </row>
    <row r="116" spans="2:7">
      <c r="B116" s="372"/>
      <c r="C116" s="871"/>
      <c r="D116" s="372"/>
      <c r="E116" s="377"/>
      <c r="F116" s="877"/>
      <c r="G116" s="877"/>
    </row>
    <row r="117" spans="2:7">
      <c r="B117" s="372"/>
      <c r="C117" s="871"/>
      <c r="D117" s="372"/>
      <c r="E117" s="377"/>
      <c r="F117" s="877"/>
      <c r="G117" s="877"/>
    </row>
    <row r="118" spans="2:7">
      <c r="B118" s="372"/>
      <c r="C118" s="871"/>
      <c r="D118" s="372"/>
      <c r="E118" s="377"/>
      <c r="F118" s="877"/>
      <c r="G118" s="877"/>
    </row>
    <row r="119" spans="2:7">
      <c r="B119" s="372"/>
      <c r="C119" s="871"/>
      <c r="D119" s="372"/>
      <c r="E119" s="377"/>
      <c r="F119" s="877"/>
      <c r="G119" s="877"/>
    </row>
    <row r="120" spans="2:7" ht="15.75" thickBot="1">
      <c r="B120" s="373"/>
      <c r="C120" s="872"/>
      <c r="D120" s="373"/>
      <c r="E120" s="386"/>
      <c r="F120" s="878"/>
      <c r="G120" s="878"/>
    </row>
    <row r="121" spans="2:7">
      <c r="B121" s="371"/>
      <c r="C121" s="377" t="s">
        <v>460</v>
      </c>
      <c r="D121" s="888" t="s">
        <v>473</v>
      </c>
      <c r="E121" s="888" t="s">
        <v>474</v>
      </c>
      <c r="F121" s="387"/>
      <c r="G121" s="876"/>
    </row>
    <row r="122" spans="2:7" ht="15.75">
      <c r="B122" s="370" t="s">
        <v>470</v>
      </c>
      <c r="C122" s="377" t="s">
        <v>471</v>
      </c>
      <c r="D122" s="892"/>
      <c r="E122" s="892"/>
      <c r="F122" s="387" t="s">
        <v>475</v>
      </c>
      <c r="G122" s="877"/>
    </row>
    <row r="123" spans="2:7" ht="15.75" thickBot="1">
      <c r="B123" s="382"/>
      <c r="C123" s="386" t="s">
        <v>462</v>
      </c>
      <c r="D123" s="889"/>
      <c r="E123" s="889"/>
      <c r="F123" s="389"/>
      <c r="G123" s="878"/>
    </row>
    <row r="124" spans="2:7" ht="31.5">
      <c r="B124" s="390" t="s">
        <v>555</v>
      </c>
      <c r="C124" s="893"/>
      <c r="D124" s="890"/>
      <c r="E124" s="377" t="s">
        <v>506</v>
      </c>
      <c r="F124" s="870"/>
      <c r="G124" s="380" t="s">
        <v>557</v>
      </c>
    </row>
    <row r="125" spans="2:7" ht="31.5">
      <c r="B125" s="390" t="s">
        <v>556</v>
      </c>
      <c r="C125" s="894"/>
      <c r="D125" s="896"/>
      <c r="E125" s="377" t="s">
        <v>507</v>
      </c>
      <c r="F125" s="871"/>
      <c r="G125" s="380"/>
    </row>
    <row r="126" spans="2:7" ht="16.5" thickBot="1">
      <c r="B126" s="392"/>
      <c r="C126" s="895"/>
      <c r="D126" s="891"/>
      <c r="E126" s="373"/>
      <c r="F126" s="872"/>
      <c r="G126" s="399" t="s">
        <v>558</v>
      </c>
    </row>
    <row r="127" spans="2:7">
      <c r="B127" s="882" t="s">
        <v>559</v>
      </c>
      <c r="C127" s="897"/>
      <c r="D127" s="870" t="s">
        <v>560</v>
      </c>
      <c r="E127" s="870"/>
      <c r="F127" s="876"/>
      <c r="G127" s="870" t="s">
        <v>557</v>
      </c>
    </row>
    <row r="128" spans="2:7" ht="15.75" thickBot="1">
      <c r="B128" s="884"/>
      <c r="C128" s="898"/>
      <c r="D128" s="872"/>
      <c r="E128" s="872"/>
      <c r="F128" s="878"/>
      <c r="G128" s="872"/>
    </row>
    <row r="129" spans="2:7" ht="24">
      <c r="B129" s="370" t="s">
        <v>561</v>
      </c>
      <c r="C129" s="377" t="s">
        <v>566</v>
      </c>
      <c r="D129" s="377"/>
      <c r="E129" s="377" t="s">
        <v>465</v>
      </c>
      <c r="F129" s="876"/>
      <c r="G129" s="870"/>
    </row>
    <row r="130" spans="2:7" ht="15.75">
      <c r="B130" s="370" t="s">
        <v>562</v>
      </c>
      <c r="C130" s="377" t="s">
        <v>567</v>
      </c>
      <c r="D130" s="377"/>
      <c r="E130" s="377" t="s">
        <v>466</v>
      </c>
      <c r="F130" s="877"/>
      <c r="G130" s="871"/>
    </row>
    <row r="131" spans="2:7" ht="15.75">
      <c r="B131" s="370" t="s">
        <v>563</v>
      </c>
      <c r="C131" s="377" t="s">
        <v>568</v>
      </c>
      <c r="D131" s="377"/>
      <c r="E131" s="377" t="s">
        <v>571</v>
      </c>
      <c r="F131" s="877"/>
      <c r="G131" s="871"/>
    </row>
    <row r="132" spans="2:7" ht="15.75">
      <c r="B132" s="370" t="s">
        <v>564</v>
      </c>
      <c r="C132" s="377"/>
      <c r="D132" s="377"/>
      <c r="E132" s="377"/>
      <c r="F132" s="877"/>
      <c r="G132" s="871"/>
    </row>
    <row r="133" spans="2:7" ht="24">
      <c r="B133" s="370" t="s">
        <v>565</v>
      </c>
      <c r="C133" s="377"/>
      <c r="D133" s="377"/>
      <c r="E133" s="407" t="s">
        <v>433</v>
      </c>
      <c r="F133" s="877"/>
      <c r="G133" s="871"/>
    </row>
    <row r="134" spans="2:7">
      <c r="B134" s="372"/>
      <c r="C134" s="377" t="s">
        <v>453</v>
      </c>
      <c r="D134" s="377"/>
      <c r="E134" s="372"/>
      <c r="F134" s="877"/>
      <c r="G134" s="871"/>
    </row>
    <row r="135" spans="2:7">
      <c r="B135" s="372"/>
      <c r="C135" s="372"/>
      <c r="D135" s="377"/>
      <c r="E135" s="372"/>
      <c r="F135" s="877"/>
      <c r="G135" s="871"/>
    </row>
    <row r="136" spans="2:7">
      <c r="B136" s="372"/>
      <c r="C136" s="372"/>
      <c r="D136" s="377"/>
      <c r="E136" s="372"/>
      <c r="F136" s="877"/>
      <c r="G136" s="871"/>
    </row>
    <row r="137" spans="2:7">
      <c r="B137" s="372"/>
      <c r="C137" s="372"/>
      <c r="D137" s="377"/>
      <c r="E137" s="372"/>
      <c r="F137" s="877"/>
      <c r="G137" s="871"/>
    </row>
    <row r="138" spans="2:7">
      <c r="B138" s="372"/>
      <c r="C138" s="372"/>
      <c r="D138" s="377"/>
      <c r="E138" s="372"/>
      <c r="F138" s="877"/>
      <c r="G138" s="871"/>
    </row>
    <row r="139" spans="2:7">
      <c r="B139" s="372"/>
      <c r="C139" s="372"/>
      <c r="D139" s="377"/>
      <c r="E139" s="372"/>
      <c r="F139" s="877"/>
      <c r="G139" s="871"/>
    </row>
    <row r="140" spans="2:7">
      <c r="B140" s="372"/>
      <c r="C140" s="372"/>
      <c r="D140" s="377"/>
      <c r="E140" s="372"/>
      <c r="F140" s="877"/>
      <c r="G140" s="871"/>
    </row>
    <row r="141" spans="2:7">
      <c r="B141" s="372"/>
      <c r="C141" s="372"/>
      <c r="D141" s="407" t="s">
        <v>569</v>
      </c>
      <c r="E141" s="372"/>
      <c r="F141" s="877"/>
      <c r="G141" s="871"/>
    </row>
    <row r="142" spans="2:7">
      <c r="B142" s="372"/>
      <c r="C142" s="372"/>
      <c r="D142" s="377" t="s">
        <v>570</v>
      </c>
      <c r="E142" s="372"/>
      <c r="F142" s="877"/>
      <c r="G142" s="871"/>
    </row>
    <row r="143" spans="2:7" ht="15.75" thickBot="1">
      <c r="B143" s="373"/>
      <c r="C143" s="373"/>
      <c r="D143" s="382"/>
      <c r="E143" s="373"/>
      <c r="F143" s="878"/>
      <c r="G143" s="872"/>
    </row>
    <row r="144" spans="2:7" ht="24">
      <c r="B144" s="864" t="s">
        <v>572</v>
      </c>
      <c r="C144" s="870" t="s">
        <v>464</v>
      </c>
      <c r="D144" s="870" t="s">
        <v>446</v>
      </c>
      <c r="E144" s="377" t="s">
        <v>465</v>
      </c>
      <c r="F144" s="876"/>
      <c r="G144" s="876"/>
    </row>
    <row r="145" spans="2:7">
      <c r="B145" s="865"/>
      <c r="C145" s="871"/>
      <c r="D145" s="871"/>
      <c r="E145" s="377" t="s">
        <v>466</v>
      </c>
      <c r="F145" s="877"/>
      <c r="G145" s="877"/>
    </row>
    <row r="146" spans="2:7" ht="24">
      <c r="B146" s="865"/>
      <c r="C146" s="871"/>
      <c r="D146" s="871"/>
      <c r="E146" s="377" t="s">
        <v>467</v>
      </c>
      <c r="F146" s="877"/>
      <c r="G146" s="877"/>
    </row>
    <row r="147" spans="2:7" ht="15.75" thickBot="1">
      <c r="B147" s="866"/>
      <c r="C147" s="872"/>
      <c r="D147" s="872"/>
      <c r="E147" s="386" t="s">
        <v>468</v>
      </c>
      <c r="F147" s="878"/>
      <c r="G147" s="878"/>
    </row>
    <row r="148" spans="2:7">
      <c r="B148" s="864" t="s">
        <v>501</v>
      </c>
      <c r="C148" s="377" t="s">
        <v>460</v>
      </c>
      <c r="D148" s="870" t="s">
        <v>441</v>
      </c>
      <c r="E148" s="401" t="s">
        <v>542</v>
      </c>
      <c r="F148" s="876" t="s">
        <v>498</v>
      </c>
      <c r="G148" s="876"/>
    </row>
    <row r="149" spans="2:7">
      <c r="B149" s="865"/>
      <c r="C149" s="377" t="s">
        <v>471</v>
      </c>
      <c r="D149" s="871"/>
      <c r="E149" s="401" t="s">
        <v>573</v>
      </c>
      <c r="F149" s="877"/>
      <c r="G149" s="877"/>
    </row>
    <row r="150" spans="2:7">
      <c r="B150" s="865"/>
      <c r="C150" s="377" t="s">
        <v>462</v>
      </c>
      <c r="D150" s="871"/>
      <c r="E150" s="372"/>
      <c r="F150" s="877"/>
      <c r="G150" s="877"/>
    </row>
    <row r="151" spans="2:7" ht="15.75" thickBot="1">
      <c r="B151" s="866"/>
      <c r="C151" s="373"/>
      <c r="D151" s="872"/>
      <c r="E151" s="373"/>
      <c r="F151" s="878"/>
      <c r="G151" s="878"/>
    </row>
    <row r="152" spans="2:7" ht="24">
      <c r="B152" s="370" t="s">
        <v>574</v>
      </c>
      <c r="C152" s="377" t="s">
        <v>460</v>
      </c>
      <c r="D152" s="377" t="s">
        <v>479</v>
      </c>
      <c r="E152" s="377" t="s">
        <v>510</v>
      </c>
      <c r="F152" s="378" t="s">
        <v>483</v>
      </c>
      <c r="G152" s="380" t="s">
        <v>489</v>
      </c>
    </row>
    <row r="153" spans="2:7" ht="15.75">
      <c r="B153" s="370" t="s">
        <v>575</v>
      </c>
      <c r="C153" s="377" t="s">
        <v>471</v>
      </c>
      <c r="D153" s="377" t="s">
        <v>523</v>
      </c>
      <c r="E153" s="377" t="s">
        <v>518</v>
      </c>
      <c r="F153" s="378" t="s">
        <v>529</v>
      </c>
      <c r="G153" s="380"/>
    </row>
    <row r="154" spans="2:7">
      <c r="B154" s="372"/>
      <c r="C154" s="377" t="s">
        <v>576</v>
      </c>
      <c r="D154" s="377" t="s">
        <v>524</v>
      </c>
      <c r="E154" s="377" t="s">
        <v>519</v>
      </c>
      <c r="F154" s="378" t="s">
        <v>550</v>
      </c>
      <c r="G154" s="380" t="s">
        <v>457</v>
      </c>
    </row>
    <row r="155" spans="2:7">
      <c r="B155" s="372"/>
      <c r="C155" s="372"/>
      <c r="D155" s="372"/>
      <c r="E155" s="372"/>
      <c r="F155" s="378" t="s">
        <v>486</v>
      </c>
      <c r="G155" s="380" t="s">
        <v>526</v>
      </c>
    </row>
    <row r="156" spans="2:7">
      <c r="B156" s="372"/>
      <c r="C156" s="372"/>
      <c r="D156" s="372"/>
      <c r="E156" s="372"/>
      <c r="F156" s="378"/>
      <c r="G156" s="385"/>
    </row>
    <row r="157" spans="2:7">
      <c r="B157" s="372"/>
      <c r="C157" s="372"/>
      <c r="D157" s="372"/>
      <c r="E157" s="372"/>
      <c r="F157" s="378"/>
      <c r="G157" s="394"/>
    </row>
    <row r="158" spans="2:7" ht="15.75" thickBot="1">
      <c r="B158" s="373"/>
      <c r="C158" s="373"/>
      <c r="D158" s="373"/>
      <c r="E158" s="373"/>
      <c r="F158" s="379"/>
      <c r="G158" s="381"/>
    </row>
    <row r="159" spans="2:7" ht="15.75" thickBot="1"/>
    <row r="160" spans="2:7" ht="32.25" thickBot="1">
      <c r="B160" s="366" t="s">
        <v>447</v>
      </c>
      <c r="C160" s="366" t="s">
        <v>448</v>
      </c>
      <c r="D160" s="366" t="s">
        <v>449</v>
      </c>
      <c r="E160" s="366" t="s">
        <v>450</v>
      </c>
      <c r="F160" s="367" t="s">
        <v>451</v>
      </c>
      <c r="G160" s="368" t="s">
        <v>452</v>
      </c>
    </row>
    <row r="161" spans="2:7" ht="36">
      <c r="B161" s="864" t="s">
        <v>431</v>
      </c>
      <c r="C161" s="374" t="s">
        <v>453</v>
      </c>
      <c r="D161" s="407" t="s">
        <v>508</v>
      </c>
      <c r="E161" s="377" t="s">
        <v>510</v>
      </c>
      <c r="F161" s="409" t="s">
        <v>434</v>
      </c>
      <c r="G161" s="380" t="s">
        <v>455</v>
      </c>
    </row>
    <row r="162" spans="2:7">
      <c r="B162" s="865"/>
      <c r="C162" s="375" t="s">
        <v>454</v>
      </c>
      <c r="D162" s="377" t="s">
        <v>509</v>
      </c>
      <c r="E162" s="377" t="s">
        <v>518</v>
      </c>
      <c r="F162" s="409" t="s">
        <v>435</v>
      </c>
      <c r="G162" s="380" t="s">
        <v>513</v>
      </c>
    </row>
    <row r="163" spans="2:7">
      <c r="B163" s="865"/>
      <c r="C163" s="372"/>
      <c r="D163" s="377" t="s">
        <v>437</v>
      </c>
      <c r="E163" s="377" t="s">
        <v>519</v>
      </c>
      <c r="F163" s="409" t="s">
        <v>436</v>
      </c>
      <c r="G163" s="380" t="s">
        <v>457</v>
      </c>
    </row>
    <row r="164" spans="2:7">
      <c r="B164" s="865"/>
      <c r="C164" s="372"/>
      <c r="D164" s="372"/>
      <c r="E164" s="372"/>
      <c r="F164" s="409" t="s">
        <v>437</v>
      </c>
      <c r="G164" s="380" t="s">
        <v>458</v>
      </c>
    </row>
    <row r="165" spans="2:7" ht="24">
      <c r="B165" s="865"/>
      <c r="C165" s="372"/>
      <c r="D165" s="372"/>
      <c r="E165" s="372"/>
      <c r="F165" s="409" t="s">
        <v>438</v>
      </c>
      <c r="G165" s="380"/>
    </row>
    <row r="166" spans="2:7" ht="15.75" thickBot="1">
      <c r="B166" s="866"/>
      <c r="C166" s="373"/>
      <c r="D166" s="373"/>
      <c r="E166" s="373"/>
      <c r="F166" s="410" t="s">
        <v>439</v>
      </c>
      <c r="G166" s="381"/>
    </row>
    <row r="167" spans="2:7" ht="24">
      <c r="B167" s="370" t="s">
        <v>476</v>
      </c>
      <c r="C167" s="377" t="s">
        <v>460</v>
      </c>
      <c r="D167" s="377" t="s">
        <v>479</v>
      </c>
      <c r="E167" s="377" t="s">
        <v>510</v>
      </c>
      <c r="F167" s="378" t="s">
        <v>577</v>
      </c>
      <c r="G167" s="380" t="s">
        <v>489</v>
      </c>
    </row>
    <row r="168" spans="2:7" ht="15.75">
      <c r="B168" s="370" t="s">
        <v>548</v>
      </c>
      <c r="C168" s="377" t="s">
        <v>471</v>
      </c>
      <c r="D168" s="377" t="s">
        <v>523</v>
      </c>
      <c r="E168" s="377" t="s">
        <v>518</v>
      </c>
      <c r="F168" s="378" t="s">
        <v>578</v>
      </c>
      <c r="G168" s="380"/>
    </row>
    <row r="169" spans="2:7" ht="15.75">
      <c r="B169" s="370" t="s">
        <v>549</v>
      </c>
      <c r="C169" s="377" t="s">
        <v>478</v>
      </c>
      <c r="D169" s="377" t="s">
        <v>524</v>
      </c>
      <c r="E169" s="377" t="s">
        <v>519</v>
      </c>
      <c r="F169" s="378" t="s">
        <v>485</v>
      </c>
      <c r="G169" s="380" t="s">
        <v>457</v>
      </c>
    </row>
    <row r="170" spans="2:7" ht="15.75">
      <c r="B170" s="370"/>
      <c r="C170" s="372"/>
      <c r="D170" s="372"/>
      <c r="E170" s="372"/>
      <c r="F170" s="378" t="s">
        <v>486</v>
      </c>
      <c r="G170" s="380" t="s">
        <v>526</v>
      </c>
    </row>
    <row r="171" spans="2:7">
      <c r="B171" s="372"/>
      <c r="C171" s="372"/>
      <c r="D171" s="372"/>
      <c r="E171" s="372"/>
      <c r="F171" s="378"/>
      <c r="G171" s="385"/>
    </row>
    <row r="172" spans="2:7">
      <c r="B172" s="372"/>
      <c r="C172" s="372"/>
      <c r="D172" s="372"/>
      <c r="E172" s="372"/>
      <c r="F172" s="378"/>
      <c r="G172" s="394"/>
    </row>
    <row r="173" spans="2:7" ht="15.75" thickBot="1">
      <c r="B173" s="373"/>
      <c r="C173" s="373"/>
      <c r="D173" s="373"/>
      <c r="E173" s="373"/>
      <c r="F173" s="379"/>
      <c r="G173" s="381"/>
    </row>
    <row r="174" spans="2:7" ht="36">
      <c r="B174" s="864" t="s">
        <v>579</v>
      </c>
      <c r="C174" s="377" t="s">
        <v>460</v>
      </c>
      <c r="D174" s="377" t="s">
        <v>446</v>
      </c>
      <c r="E174" s="377" t="s">
        <v>442</v>
      </c>
      <c r="F174" s="876"/>
      <c r="G174" s="870" t="s">
        <v>580</v>
      </c>
    </row>
    <row r="175" spans="2:7">
      <c r="B175" s="865"/>
      <c r="C175" s="377" t="s">
        <v>461</v>
      </c>
      <c r="D175" s="377"/>
      <c r="E175" s="377" t="s">
        <v>443</v>
      </c>
      <c r="F175" s="877"/>
      <c r="G175" s="871"/>
    </row>
    <row r="176" spans="2:7">
      <c r="B176" s="865"/>
      <c r="C176" s="377" t="s">
        <v>462</v>
      </c>
      <c r="D176" s="377"/>
      <c r="E176" s="377"/>
      <c r="F176" s="877"/>
      <c r="G176" s="871"/>
    </row>
    <row r="177" spans="2:7">
      <c r="B177" s="865"/>
      <c r="C177" s="377"/>
      <c r="D177" s="377"/>
      <c r="E177" s="377"/>
      <c r="F177" s="877"/>
      <c r="G177" s="871"/>
    </row>
    <row r="178" spans="2:7">
      <c r="B178" s="865"/>
      <c r="C178" s="377"/>
      <c r="D178" s="377"/>
      <c r="E178" s="377" t="s">
        <v>510</v>
      </c>
      <c r="F178" s="877"/>
      <c r="G178" s="871"/>
    </row>
    <row r="179" spans="2:7">
      <c r="B179" s="865"/>
      <c r="C179" s="377"/>
      <c r="D179" s="407" t="s">
        <v>494</v>
      </c>
      <c r="E179" s="377" t="s">
        <v>518</v>
      </c>
      <c r="F179" s="877"/>
      <c r="G179" s="871"/>
    </row>
    <row r="180" spans="2:7">
      <c r="B180" s="865"/>
      <c r="C180" s="377"/>
      <c r="D180" s="372"/>
      <c r="E180" s="377" t="s">
        <v>519</v>
      </c>
      <c r="F180" s="877"/>
      <c r="G180" s="871"/>
    </row>
    <row r="181" spans="2:7">
      <c r="B181" s="865"/>
      <c r="C181" s="377"/>
      <c r="D181" s="372"/>
      <c r="E181" s="377"/>
      <c r="F181" s="877"/>
      <c r="G181" s="871"/>
    </row>
    <row r="182" spans="2:7">
      <c r="B182" s="865"/>
      <c r="C182" s="377"/>
      <c r="D182" s="372"/>
      <c r="E182" s="372"/>
      <c r="F182" s="877"/>
      <c r="G182" s="871"/>
    </row>
    <row r="183" spans="2:7">
      <c r="B183" s="865"/>
      <c r="C183" s="377"/>
      <c r="D183" s="372"/>
      <c r="E183" s="372"/>
      <c r="F183" s="877"/>
      <c r="G183" s="871"/>
    </row>
    <row r="184" spans="2:7">
      <c r="B184" s="865"/>
      <c r="C184" s="377"/>
      <c r="D184" s="372"/>
      <c r="E184" s="372"/>
      <c r="F184" s="877"/>
      <c r="G184" s="871"/>
    </row>
    <row r="185" spans="2:7" ht="15.75" thickBot="1">
      <c r="B185" s="866"/>
      <c r="C185" s="386"/>
      <c r="D185" s="373"/>
      <c r="E185" s="373"/>
      <c r="F185" s="878"/>
      <c r="G185" s="872"/>
    </row>
    <row r="186" spans="2:7" ht="36">
      <c r="B186" s="864" t="s">
        <v>581</v>
      </c>
      <c r="C186" s="377" t="s">
        <v>460</v>
      </c>
      <c r="D186" s="377" t="s">
        <v>446</v>
      </c>
      <c r="E186" s="377" t="s">
        <v>442</v>
      </c>
      <c r="F186" s="876"/>
      <c r="G186" s="876"/>
    </row>
    <row r="187" spans="2:7">
      <c r="B187" s="865"/>
      <c r="C187" s="377" t="s">
        <v>461</v>
      </c>
      <c r="D187" s="377"/>
      <c r="E187" s="377" t="s">
        <v>443</v>
      </c>
      <c r="F187" s="877"/>
      <c r="G187" s="877"/>
    </row>
    <row r="188" spans="2:7">
      <c r="B188" s="865"/>
      <c r="C188" s="377" t="s">
        <v>462</v>
      </c>
      <c r="D188" s="377"/>
      <c r="E188" s="377"/>
      <c r="F188" s="877"/>
      <c r="G188" s="877"/>
    </row>
    <row r="189" spans="2:7">
      <c r="B189" s="865"/>
      <c r="C189" s="372"/>
      <c r="D189" s="377"/>
      <c r="E189" s="377"/>
      <c r="F189" s="877"/>
      <c r="G189" s="877"/>
    </row>
    <row r="190" spans="2:7" ht="24">
      <c r="B190" s="865"/>
      <c r="C190" s="372"/>
      <c r="D190" s="377"/>
      <c r="E190" s="411" t="s">
        <v>582</v>
      </c>
      <c r="F190" s="877"/>
      <c r="G190" s="877"/>
    </row>
    <row r="191" spans="2:7" ht="15.75" thickBot="1">
      <c r="B191" s="866"/>
      <c r="C191" s="373"/>
      <c r="D191" s="408" t="s">
        <v>494</v>
      </c>
      <c r="E191" s="386"/>
      <c r="F191" s="878"/>
      <c r="G191" s="878"/>
    </row>
    <row r="192" spans="2:7" ht="24">
      <c r="B192" s="882" t="s">
        <v>583</v>
      </c>
      <c r="C192" s="376" t="s">
        <v>460</v>
      </c>
      <c r="D192" s="870" t="s">
        <v>584</v>
      </c>
      <c r="E192" s="407" t="s">
        <v>510</v>
      </c>
      <c r="F192" s="378" t="s">
        <v>585</v>
      </c>
      <c r="G192" s="380" t="s">
        <v>531</v>
      </c>
    </row>
    <row r="193" spans="2:7" ht="24">
      <c r="B193" s="883"/>
      <c r="C193" s="376" t="s">
        <v>461</v>
      </c>
      <c r="D193" s="871"/>
      <c r="E193" s="407" t="s">
        <v>518</v>
      </c>
      <c r="F193" s="378" t="s">
        <v>586</v>
      </c>
      <c r="G193" s="380" t="s">
        <v>587</v>
      </c>
    </row>
    <row r="194" spans="2:7" ht="36">
      <c r="B194" s="883"/>
      <c r="C194" s="376" t="s">
        <v>462</v>
      </c>
      <c r="D194" s="871"/>
      <c r="E194" s="407" t="s">
        <v>519</v>
      </c>
      <c r="F194" s="378"/>
      <c r="G194" s="380" t="s">
        <v>588</v>
      </c>
    </row>
    <row r="195" spans="2:7">
      <c r="B195" s="883"/>
      <c r="C195" s="369"/>
      <c r="D195" s="871"/>
      <c r="E195" s="372"/>
      <c r="F195" s="378"/>
      <c r="G195" s="380" t="s">
        <v>457</v>
      </c>
    </row>
    <row r="196" spans="2:7">
      <c r="B196" s="883"/>
      <c r="C196" s="369"/>
      <c r="D196" s="871"/>
      <c r="E196" s="372"/>
      <c r="F196" s="378"/>
      <c r="G196" s="380" t="s">
        <v>526</v>
      </c>
    </row>
    <row r="197" spans="2:7">
      <c r="B197" s="883"/>
      <c r="C197" s="369"/>
      <c r="D197" s="871"/>
      <c r="E197" s="372"/>
      <c r="F197" s="402"/>
      <c r="G197" s="380"/>
    </row>
    <row r="198" spans="2:7">
      <c r="B198" s="883"/>
      <c r="C198" s="369"/>
      <c r="D198" s="871"/>
      <c r="E198" s="372"/>
      <c r="F198" s="402"/>
      <c r="G198" s="380" t="s">
        <v>533</v>
      </c>
    </row>
    <row r="199" spans="2:7" ht="15.75" thickBot="1">
      <c r="B199" s="884"/>
      <c r="C199" s="393"/>
      <c r="D199" s="872"/>
      <c r="E199" s="373"/>
      <c r="F199" s="389"/>
      <c r="G199" s="399"/>
    </row>
    <row r="200" spans="2:7">
      <c r="B200" s="882" t="s">
        <v>106</v>
      </c>
      <c r="C200" s="376" t="s">
        <v>460</v>
      </c>
      <c r="D200" s="870" t="s">
        <v>590</v>
      </c>
      <c r="E200" s="870" t="s">
        <v>474</v>
      </c>
      <c r="F200" s="876"/>
      <c r="G200" s="876"/>
    </row>
    <row r="201" spans="2:7">
      <c r="B201" s="883"/>
      <c r="C201" s="376" t="s">
        <v>471</v>
      </c>
      <c r="D201" s="871"/>
      <c r="E201" s="871"/>
      <c r="F201" s="877"/>
      <c r="G201" s="877"/>
    </row>
    <row r="202" spans="2:7" ht="15.75" thickBot="1">
      <c r="B202" s="884"/>
      <c r="C202" s="405" t="s">
        <v>589</v>
      </c>
      <c r="D202" s="872"/>
      <c r="E202" s="872"/>
      <c r="F202" s="878"/>
      <c r="G202" s="878"/>
    </row>
    <row r="203" spans="2:7" ht="24">
      <c r="B203" s="370" t="s">
        <v>591</v>
      </c>
      <c r="C203" s="377" t="s">
        <v>460</v>
      </c>
      <c r="D203" s="377" t="s">
        <v>479</v>
      </c>
      <c r="E203" s="377" t="s">
        <v>594</v>
      </c>
      <c r="F203" s="378" t="s">
        <v>577</v>
      </c>
      <c r="G203" s="380" t="s">
        <v>525</v>
      </c>
    </row>
    <row r="204" spans="2:7" ht="15.75">
      <c r="B204" s="370" t="s">
        <v>592</v>
      </c>
      <c r="C204" s="377" t="s">
        <v>471</v>
      </c>
      <c r="D204" s="377" t="s">
        <v>523</v>
      </c>
      <c r="E204" s="377" t="s">
        <v>519</v>
      </c>
      <c r="F204" s="378" t="s">
        <v>595</v>
      </c>
      <c r="G204" s="380"/>
    </row>
    <row r="205" spans="2:7" ht="24">
      <c r="B205" s="370"/>
      <c r="C205" s="377" t="s">
        <v>462</v>
      </c>
      <c r="D205" s="377" t="s">
        <v>524</v>
      </c>
      <c r="E205" s="372"/>
      <c r="F205" s="378" t="s">
        <v>596</v>
      </c>
      <c r="G205" s="380" t="s">
        <v>489</v>
      </c>
    </row>
    <row r="206" spans="2:7" ht="15.75">
      <c r="B206" s="370" t="s">
        <v>593</v>
      </c>
      <c r="C206" s="372"/>
      <c r="D206" s="372"/>
      <c r="E206" s="372"/>
      <c r="F206" s="378" t="s">
        <v>486</v>
      </c>
      <c r="G206" s="380"/>
    </row>
    <row r="207" spans="2:7">
      <c r="B207" s="372"/>
      <c r="C207" s="372"/>
      <c r="D207" s="372"/>
      <c r="E207" s="372"/>
      <c r="F207" s="378"/>
      <c r="G207" s="380" t="s">
        <v>457</v>
      </c>
    </row>
    <row r="208" spans="2:7">
      <c r="B208" s="372"/>
      <c r="C208" s="372"/>
      <c r="D208" s="372"/>
      <c r="E208" s="372"/>
      <c r="F208" s="378"/>
      <c r="G208" s="380" t="s">
        <v>526</v>
      </c>
    </row>
    <row r="209" spans="2:7" ht="15.75" thickBot="1">
      <c r="B209" s="373"/>
      <c r="C209" s="373"/>
      <c r="D209" s="373"/>
      <c r="E209" s="373"/>
      <c r="F209" s="379"/>
      <c r="G209" s="406"/>
    </row>
    <row r="210" spans="2:7" ht="24">
      <c r="B210" s="864" t="s">
        <v>597</v>
      </c>
      <c r="C210" s="870"/>
      <c r="D210" s="888" t="s">
        <v>598</v>
      </c>
      <c r="E210" s="377" t="s">
        <v>442</v>
      </c>
      <c r="F210" s="876"/>
      <c r="G210" s="876"/>
    </row>
    <row r="211" spans="2:7" ht="15.75" thickBot="1">
      <c r="B211" s="866"/>
      <c r="C211" s="872"/>
      <c r="D211" s="889"/>
      <c r="E211" s="397" t="s">
        <v>443</v>
      </c>
      <c r="F211" s="878"/>
      <c r="G211" s="878"/>
    </row>
    <row r="212" spans="2:7" ht="24">
      <c r="B212" s="370" t="s">
        <v>459</v>
      </c>
      <c r="C212" s="377" t="s">
        <v>460</v>
      </c>
      <c r="D212" s="870" t="s">
        <v>441</v>
      </c>
      <c r="E212" s="377" t="s">
        <v>442</v>
      </c>
      <c r="F212" s="876"/>
      <c r="G212" s="876"/>
    </row>
    <row r="213" spans="2:7" ht="15.75">
      <c r="B213" s="370" t="s">
        <v>599</v>
      </c>
      <c r="C213" s="377" t="s">
        <v>461</v>
      </c>
      <c r="D213" s="871"/>
      <c r="E213" s="377" t="s">
        <v>443</v>
      </c>
      <c r="F213" s="877"/>
      <c r="G213" s="877"/>
    </row>
    <row r="214" spans="2:7" ht="15.75">
      <c r="B214" s="370" t="s">
        <v>600</v>
      </c>
      <c r="C214" s="377" t="s">
        <v>462</v>
      </c>
      <c r="D214" s="871"/>
      <c r="E214" s="372"/>
      <c r="F214" s="877"/>
      <c r="G214" s="877"/>
    </row>
    <row r="215" spans="2:7" ht="15.75">
      <c r="B215" s="370" t="s">
        <v>601</v>
      </c>
      <c r="C215" s="372"/>
      <c r="D215" s="871"/>
      <c r="E215" s="372"/>
      <c r="F215" s="877"/>
      <c r="G215" s="877"/>
    </row>
    <row r="216" spans="2:7" ht="15.75">
      <c r="B216" s="370" t="s">
        <v>429</v>
      </c>
      <c r="C216" s="372"/>
      <c r="D216" s="871"/>
      <c r="E216" s="372"/>
      <c r="F216" s="877"/>
      <c r="G216" s="877"/>
    </row>
    <row r="217" spans="2:7" ht="16.5" thickBot="1">
      <c r="B217" s="396"/>
      <c r="C217" s="373"/>
      <c r="D217" s="872"/>
      <c r="E217" s="373"/>
      <c r="F217" s="878"/>
      <c r="G217" s="878"/>
    </row>
    <row r="218" spans="2:7" ht="16.5" thickBot="1">
      <c r="B218" s="396" t="s">
        <v>602</v>
      </c>
      <c r="C218" s="397"/>
      <c r="D218" s="400"/>
      <c r="E218" s="386"/>
      <c r="F218" s="398"/>
      <c r="G218" s="399" t="s">
        <v>500</v>
      </c>
    </row>
    <row r="219" spans="2:7">
      <c r="B219" s="864" t="s">
        <v>501</v>
      </c>
      <c r="C219" s="377" t="s">
        <v>460</v>
      </c>
      <c r="D219" s="870" t="s">
        <v>441</v>
      </c>
      <c r="E219" s="401" t="s">
        <v>542</v>
      </c>
      <c r="F219" s="876"/>
      <c r="G219" s="876"/>
    </row>
    <row r="220" spans="2:7">
      <c r="B220" s="865"/>
      <c r="C220" s="377" t="s">
        <v>471</v>
      </c>
      <c r="D220" s="871"/>
      <c r="E220" s="401" t="s">
        <v>573</v>
      </c>
      <c r="F220" s="877"/>
      <c r="G220" s="877"/>
    </row>
    <row r="221" spans="2:7">
      <c r="B221" s="865"/>
      <c r="C221" s="377" t="s">
        <v>462</v>
      </c>
      <c r="D221" s="871"/>
      <c r="E221" s="372"/>
      <c r="F221" s="877"/>
      <c r="G221" s="877"/>
    </row>
    <row r="222" spans="2:7" ht="15.75" thickBot="1">
      <c r="B222" s="866"/>
      <c r="C222" s="373"/>
      <c r="D222" s="872"/>
      <c r="E222" s="373"/>
      <c r="F222" s="878"/>
      <c r="G222" s="878"/>
    </row>
    <row r="223" spans="2:7" ht="24">
      <c r="B223" s="899" t="s">
        <v>603</v>
      </c>
      <c r="C223" s="870" t="s">
        <v>464</v>
      </c>
      <c r="D223" s="870" t="s">
        <v>446</v>
      </c>
      <c r="E223" s="377" t="s">
        <v>465</v>
      </c>
      <c r="F223" s="876"/>
      <c r="G223" s="876"/>
    </row>
    <row r="224" spans="2:7">
      <c r="B224" s="900"/>
      <c r="C224" s="871"/>
      <c r="D224" s="871"/>
      <c r="E224" s="377" t="s">
        <v>466</v>
      </c>
      <c r="F224" s="877"/>
      <c r="G224" s="877"/>
    </row>
    <row r="225" spans="2:7" ht="24">
      <c r="B225" s="900"/>
      <c r="C225" s="871"/>
      <c r="D225" s="871"/>
      <c r="E225" s="377" t="s">
        <v>467</v>
      </c>
      <c r="F225" s="877"/>
      <c r="G225" s="877"/>
    </row>
    <row r="226" spans="2:7" ht="15.75" thickBot="1">
      <c r="B226" s="901"/>
      <c r="C226" s="872"/>
      <c r="D226" s="872"/>
      <c r="E226" s="386" t="s">
        <v>468</v>
      </c>
      <c r="F226" s="878"/>
      <c r="G226" s="878"/>
    </row>
  </sheetData>
  <customSheetViews>
    <customSheetView guid="{BF95D06F-A801-4955-B76D-3C2C36D85037}" state="hidden">
      <selection activeCell="E200" sqref="E200:E202"/>
      <pageMargins left="0.511811024" right="0.511811024" top="0.78740157499999996" bottom="0.78740157499999996" header="0.31496062000000002" footer="0.31496062000000002"/>
    </customSheetView>
    <customSheetView guid="{385977A3-6FE9-40C9-8548-2B73DA2662B2}" state="hidden">
      <selection activeCell="E200" sqref="E200:E202"/>
      <pageMargins left="0.511811024" right="0.511811024" top="0.78740157499999996" bottom="0.78740157499999996" header="0.31496062000000002" footer="0.31496062000000002"/>
    </customSheetView>
  </customSheetViews>
  <mergeCells count="107">
    <mergeCell ref="B219:B222"/>
    <mergeCell ref="D219:D222"/>
    <mergeCell ref="F219:F222"/>
    <mergeCell ref="G219:G222"/>
    <mergeCell ref="B223:B226"/>
    <mergeCell ref="C223:C226"/>
    <mergeCell ref="D223:D226"/>
    <mergeCell ref="F223:F226"/>
    <mergeCell ref="G223:G226"/>
    <mergeCell ref="B210:B211"/>
    <mergeCell ref="C210:C211"/>
    <mergeCell ref="D210:D211"/>
    <mergeCell ref="F210:F211"/>
    <mergeCell ref="G210:G211"/>
    <mergeCell ref="D212:D217"/>
    <mergeCell ref="F212:F217"/>
    <mergeCell ref="G212:G217"/>
    <mergeCell ref="B186:B191"/>
    <mergeCell ref="F186:F191"/>
    <mergeCell ref="G186:G191"/>
    <mergeCell ref="B192:B199"/>
    <mergeCell ref="D192:D199"/>
    <mergeCell ref="B200:B202"/>
    <mergeCell ref="D200:D202"/>
    <mergeCell ref="E200:E202"/>
    <mergeCell ref="F200:F202"/>
    <mergeCell ref="G200:G202"/>
    <mergeCell ref="B148:B151"/>
    <mergeCell ref="D148:D151"/>
    <mergeCell ref="F148:F151"/>
    <mergeCell ref="G148:G151"/>
    <mergeCell ref="B161:B166"/>
    <mergeCell ref="B174:B185"/>
    <mergeCell ref="F174:F185"/>
    <mergeCell ref="G174:G185"/>
    <mergeCell ref="G127:G128"/>
    <mergeCell ref="F129:F143"/>
    <mergeCell ref="G129:G143"/>
    <mergeCell ref="B144:B147"/>
    <mergeCell ref="C144:C147"/>
    <mergeCell ref="D144:D147"/>
    <mergeCell ref="F144:F147"/>
    <mergeCell ref="G144:G147"/>
    <mergeCell ref="C124:C126"/>
    <mergeCell ref="D124:D126"/>
    <mergeCell ref="F124:F126"/>
    <mergeCell ref="B127:B128"/>
    <mergeCell ref="C127:C128"/>
    <mergeCell ref="D127:D128"/>
    <mergeCell ref="E127:E128"/>
    <mergeCell ref="F127:F128"/>
    <mergeCell ref="B95:B100"/>
    <mergeCell ref="D95:D100"/>
    <mergeCell ref="C108:C120"/>
    <mergeCell ref="F108:F120"/>
    <mergeCell ref="G108:G120"/>
    <mergeCell ref="D121:D123"/>
    <mergeCell ref="E121:E123"/>
    <mergeCell ref="G121:G123"/>
    <mergeCell ref="C83:C87"/>
    <mergeCell ref="D83:D87"/>
    <mergeCell ref="F83:F87"/>
    <mergeCell ref="G83:G87"/>
    <mergeCell ref="B89:B92"/>
    <mergeCell ref="D89:D92"/>
    <mergeCell ref="F89:F92"/>
    <mergeCell ref="G89:G92"/>
    <mergeCell ref="D75:D77"/>
    <mergeCell ref="E75:E77"/>
    <mergeCell ref="G75:G77"/>
    <mergeCell ref="D78:D82"/>
    <mergeCell ref="F78:F82"/>
    <mergeCell ref="G78:G82"/>
    <mergeCell ref="B44:B49"/>
    <mergeCell ref="G50:G55"/>
    <mergeCell ref="B56:B63"/>
    <mergeCell ref="C71:C74"/>
    <mergeCell ref="D71:D74"/>
    <mergeCell ref="F71:F74"/>
    <mergeCell ref="G71:G74"/>
    <mergeCell ref="B36:B39"/>
    <mergeCell ref="D36:D39"/>
    <mergeCell ref="F36:F39"/>
    <mergeCell ref="G36:G39"/>
    <mergeCell ref="B40:B41"/>
    <mergeCell ref="C40:C41"/>
    <mergeCell ref="D40:D41"/>
    <mergeCell ref="F40:F41"/>
    <mergeCell ref="G40:G41"/>
    <mergeCell ref="D20:D22"/>
    <mergeCell ref="E20:E22"/>
    <mergeCell ref="G20:G22"/>
    <mergeCell ref="E23:E31"/>
    <mergeCell ref="B32:B34"/>
    <mergeCell ref="C32:C34"/>
    <mergeCell ref="D32:D34"/>
    <mergeCell ref="F32:F34"/>
    <mergeCell ref="G32:G34"/>
    <mergeCell ref="B4:B9"/>
    <mergeCell ref="D4:D9"/>
    <mergeCell ref="E4:E9"/>
    <mergeCell ref="D10:D14"/>
    <mergeCell ref="G10:G14"/>
    <mergeCell ref="C15:C19"/>
    <mergeCell ref="D15:D19"/>
    <mergeCell ref="F15:F19"/>
    <mergeCell ref="G15:G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6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MEMORIA DE CALCULO </vt:lpstr>
      <vt:lpstr>auxiliar memoria</vt:lpstr>
      <vt:lpstr>ITEN DE MAIOR</vt:lpstr>
      <vt:lpstr>CRON FIN - 5 MESES</vt:lpstr>
      <vt:lpstr>Plan2</vt:lpstr>
      <vt:lpstr>Plan1</vt:lpstr>
      <vt:lpstr>Gráf1</vt:lpstr>
      <vt:lpstr>'CRON FIN - 5 MESES'!__xlnm.Print_Area</vt:lpstr>
      <vt:lpstr>Plan1!_Hlk387315004</vt:lpstr>
      <vt:lpstr>'auxiliar memoria'!_Toc381285951</vt:lpstr>
      <vt:lpstr>'CRON FIN - 5 MESES'!Area_de_impressao</vt:lpstr>
      <vt:lpstr>'ITEN DE MAIOR'!Area_de_impressao</vt:lpstr>
      <vt:lpstr>'MEMORIA DE CALCULO '!Area_de_impressao</vt:lpstr>
      <vt:lpstr>'ITEN DE MAIOR'!Titulos_de_impressao</vt:lpstr>
      <vt:lpstr>'MEMORIA DE CALCULO 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ATP-01</dc:creator>
  <cp:lastModifiedBy>José Wilson Vilela dos Santos</cp:lastModifiedBy>
  <cp:lastPrinted>2018-06-12T11:37:59Z</cp:lastPrinted>
  <dcterms:created xsi:type="dcterms:W3CDTF">2013-08-07T20:30:26Z</dcterms:created>
  <dcterms:modified xsi:type="dcterms:W3CDTF">2018-07-24T14:26:32Z</dcterms:modified>
</cp:coreProperties>
</file>